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Z:\004_Technik\Sales tools\"/>
    </mc:Choice>
  </mc:AlternateContent>
  <xr:revisionPtr revIDLastSave="0" documentId="13_ncr:1_{9B69747D-92B3-4C90-B17F-3B0C24479061}" xr6:coauthVersionLast="47" xr6:coauthVersionMax="47" xr10:uidLastSave="{00000000-0000-0000-0000-000000000000}"/>
  <workbookProtection workbookAlgorithmName="SHA-512" workbookHashValue="fvu5dnZXwsSQue57i9H4B68MdFHmRwrGqokaeWrspQ6T+KfnOL6uxeePkv3NhBFBKDB9mteLuUffl7CHqPepAw==" workbookSaltValue="CQzWsRC7KapESZ0KmKFk2g==" workbookSpinCount="100000" lockStructure="1"/>
  <bookViews>
    <workbookView xWindow="-120" yWindow="-120" windowWidth="29040" windowHeight="15720" firstSheet="1" activeTab="1" xr2:uid="{00000000-000D-0000-FFFF-FFFF00000000}"/>
  </bookViews>
  <sheets>
    <sheet name="Tabelle1" sheetId="7" state="hidden" r:id="rId1"/>
    <sheet name="System" sheetId="5" r:id="rId2"/>
    <sheet name="PV modules" sheetId="2" r:id="rId3"/>
    <sheet name="Inverter" sheetId="3" state="hidden" r:id="rId4"/>
  </sheets>
  <definedNames>
    <definedName name="_xlnm._FilterDatabase" localSheetId="2" hidden="1">'PV modules'!$AS$4:$AS$100</definedName>
    <definedName name="bild1">INDIRECT("Tabelle1!B"&amp;Tabelle1!$A$1)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5" l="1"/>
  <c r="L13" i="5"/>
  <c r="Q154" i="5"/>
  <c r="Q153" i="5"/>
  <c r="Q152" i="5"/>
  <c r="Q151" i="5"/>
  <c r="Q150" i="5"/>
  <c r="J33" i="5" l="1"/>
  <c r="J37" i="5" s="1"/>
  <c r="J36" i="5"/>
  <c r="J32" i="5"/>
  <c r="N13" i="5" l="1"/>
  <c r="K13" i="5"/>
  <c r="J13" i="5"/>
  <c r="I13" i="5"/>
  <c r="H13" i="5"/>
  <c r="G13" i="5"/>
  <c r="F13" i="5"/>
  <c r="E13" i="5"/>
  <c r="D13" i="5"/>
  <c r="K61" i="5" l="1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35" i="2"/>
  <c r="M11" i="5"/>
  <c r="L8" i="5"/>
  <c r="K8" i="5"/>
  <c r="J8" i="5"/>
  <c r="M9" i="5"/>
  <c r="L9" i="5"/>
  <c r="K9" i="5"/>
  <c r="J9" i="5"/>
  <c r="I9" i="5"/>
  <c r="H9" i="5"/>
  <c r="G9" i="5"/>
  <c r="F9" i="5"/>
  <c r="E9" i="5"/>
  <c r="D9" i="5"/>
  <c r="A1" i="7"/>
  <c r="C7" i="5"/>
  <c r="H16" i="5"/>
  <c r="M8" i="5"/>
  <c r="D7" i="5"/>
  <c r="C16" i="5"/>
  <c r="E16" i="5"/>
  <c r="D16" i="5"/>
  <c r="G16" i="5"/>
  <c r="F16" i="5"/>
  <c r="H8" i="5"/>
  <c r="R32" i="2"/>
  <c r="D8" i="5"/>
  <c r="E8" i="5"/>
  <c r="F8" i="5"/>
  <c r="G8" i="5"/>
  <c r="I8" i="5"/>
  <c r="N8" i="5"/>
  <c r="F12" i="5"/>
  <c r="G12" i="5"/>
  <c r="H12" i="5"/>
  <c r="I12" i="5"/>
  <c r="J12" i="5"/>
  <c r="K12" i="5"/>
  <c r="L12" i="5"/>
  <c r="M12" i="5"/>
  <c r="N12" i="5"/>
  <c r="I7" i="5"/>
  <c r="H7" i="5"/>
  <c r="G7" i="5"/>
  <c r="F7" i="5"/>
  <c r="E7" i="5"/>
  <c r="N11" i="5"/>
  <c r="H11" i="5"/>
  <c r="L11" i="5"/>
  <c r="K11" i="5"/>
  <c r="J11" i="5"/>
  <c r="I11" i="5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N9" i="5" s="1"/>
  <c r="R20" i="2"/>
  <c r="R21" i="2"/>
  <c r="R22" i="2"/>
  <c r="R23" i="2"/>
  <c r="R24" i="2"/>
  <c r="R25" i="2"/>
  <c r="R26" i="2"/>
  <c r="R27" i="2"/>
  <c r="R28" i="2"/>
  <c r="R29" i="2"/>
  <c r="R30" i="2"/>
  <c r="R31" i="2"/>
  <c r="R33" i="2"/>
  <c r="R34" i="2"/>
  <c r="R4" i="2"/>
  <c r="D159" i="5"/>
  <c r="D163" i="5"/>
  <c r="D167" i="5"/>
  <c r="D171" i="5"/>
  <c r="D175" i="5"/>
  <c r="D179" i="5"/>
  <c r="D183" i="5"/>
  <c r="D187" i="5"/>
  <c r="D191" i="5"/>
  <c r="D156" i="5"/>
  <c r="D166" i="5"/>
  <c r="D169" i="5"/>
  <c r="D172" i="5"/>
  <c r="D182" i="5"/>
  <c r="D185" i="5"/>
  <c r="D188" i="5"/>
  <c r="D196" i="5"/>
  <c r="D200" i="5"/>
  <c r="D160" i="5"/>
  <c r="D164" i="5"/>
  <c r="D168" i="5"/>
  <c r="D186" i="5"/>
  <c r="D190" i="5"/>
  <c r="D195" i="5"/>
  <c r="D198" i="5"/>
  <c r="D201" i="5"/>
  <c r="D130" i="5"/>
  <c r="D134" i="5"/>
  <c r="D138" i="5"/>
  <c r="D149" i="5"/>
  <c r="D153" i="5"/>
  <c r="D157" i="5"/>
  <c r="D161" i="5"/>
  <c r="D165" i="5"/>
  <c r="D176" i="5"/>
  <c r="D180" i="5"/>
  <c r="D184" i="5"/>
  <c r="D194" i="5"/>
  <c r="D197" i="5"/>
  <c r="D127" i="5"/>
  <c r="D131" i="5"/>
  <c r="D135" i="5"/>
  <c r="D139" i="5"/>
  <c r="D150" i="5"/>
  <c r="D154" i="5"/>
  <c r="D158" i="5"/>
  <c r="D162" i="5"/>
  <c r="D174" i="5"/>
  <c r="D193" i="5"/>
  <c r="D199" i="5"/>
  <c r="D129" i="5"/>
  <c r="D137" i="5"/>
  <c r="D152" i="5"/>
  <c r="D173" i="5"/>
  <c r="D181" i="5"/>
  <c r="D192" i="5"/>
  <c r="D203" i="5"/>
  <c r="D132" i="5"/>
  <c r="D140" i="5"/>
  <c r="D155" i="5"/>
  <c r="D170" i="5"/>
  <c r="D178" i="5"/>
  <c r="D189" i="5"/>
  <c r="D202" i="5"/>
  <c r="D133" i="5"/>
  <c r="D141" i="5"/>
  <c r="D177" i="5"/>
  <c r="D128" i="5"/>
  <c r="D136" i="5"/>
  <c r="D151" i="5"/>
  <c r="F157" i="5"/>
  <c r="F161" i="5"/>
  <c r="F165" i="5"/>
  <c r="F169" i="5"/>
  <c r="F173" i="5"/>
  <c r="F177" i="5"/>
  <c r="F181" i="5"/>
  <c r="F185" i="5"/>
  <c r="F189" i="5"/>
  <c r="F193" i="5"/>
  <c r="F164" i="5"/>
  <c r="F167" i="5"/>
  <c r="F170" i="5"/>
  <c r="F180" i="5"/>
  <c r="F183" i="5"/>
  <c r="F186" i="5"/>
  <c r="F194" i="5"/>
  <c r="F198" i="5"/>
  <c r="F202" i="5"/>
  <c r="F159" i="5"/>
  <c r="F163" i="5"/>
  <c r="F174" i="5"/>
  <c r="F178" i="5"/>
  <c r="F182" i="5"/>
  <c r="F196" i="5"/>
  <c r="F199" i="5"/>
  <c r="F156" i="5"/>
  <c r="F160" i="5"/>
  <c r="F171" i="5"/>
  <c r="F175" i="5"/>
  <c r="F179" i="5"/>
  <c r="F190" i="5"/>
  <c r="F195" i="5"/>
  <c r="F128" i="5"/>
  <c r="F130" i="5"/>
  <c r="F132" i="5"/>
  <c r="F134" i="5"/>
  <c r="F136" i="5"/>
  <c r="F138" i="5"/>
  <c r="F140" i="5"/>
  <c r="F149" i="5"/>
  <c r="F151" i="5"/>
  <c r="F153" i="5"/>
  <c r="F155" i="5"/>
  <c r="F168" i="5"/>
  <c r="F166" i="5"/>
  <c r="F188" i="5"/>
  <c r="F200" i="5"/>
  <c r="F129" i="5"/>
  <c r="F133" i="5"/>
  <c r="F137" i="5"/>
  <c r="F141" i="5"/>
  <c r="F152" i="5"/>
  <c r="F176" i="5"/>
  <c r="F187" i="5"/>
  <c r="F158" i="5"/>
  <c r="F184" i="5"/>
  <c r="F192" i="5"/>
  <c r="F197" i="5"/>
  <c r="F203" i="5"/>
  <c r="F127" i="5"/>
  <c r="F131" i="5"/>
  <c r="F135" i="5"/>
  <c r="F139" i="5"/>
  <c r="F150" i="5"/>
  <c r="F154" i="5"/>
  <c r="F162" i="5"/>
  <c r="F172" i="5"/>
  <c r="F191" i="5"/>
  <c r="F201" i="5"/>
  <c r="M36" i="5" l="1"/>
  <c r="R118" i="5" s="1"/>
  <c r="M32" i="5"/>
  <c r="R110" i="5" s="1"/>
  <c r="N32" i="5"/>
  <c r="N36" i="5"/>
  <c r="J56" i="5"/>
  <c r="N24" i="5"/>
  <c r="K62" i="5"/>
  <c r="F4" i="5"/>
  <c r="K60" i="5"/>
  <c r="K17" i="5"/>
  <c r="F18" i="5" s="1"/>
  <c r="L17" i="5"/>
  <c r="H17" i="5" s="1"/>
  <c r="J17" i="5"/>
  <c r="E17" i="5" s="1"/>
  <c r="G25" i="5" s="1"/>
  <c r="K63" i="5"/>
  <c r="C20" i="5"/>
  <c r="J20" i="5"/>
  <c r="B2" i="3"/>
  <c r="C11" i="5" s="1"/>
  <c r="C5" i="5"/>
  <c r="J42" i="5"/>
  <c r="N28" i="5"/>
  <c r="F1" i="5"/>
  <c r="J22" i="5"/>
  <c r="C15" i="5"/>
  <c r="C2" i="3"/>
  <c r="D11" i="5" s="1"/>
  <c r="L2" i="2"/>
  <c r="K7" i="5" s="1"/>
  <c r="C22" i="5"/>
  <c r="C23" i="5"/>
  <c r="E2" i="3"/>
  <c r="E11" i="5" s="1"/>
  <c r="N2" i="2"/>
  <c r="L7" i="5" s="1"/>
  <c r="K23" i="5"/>
  <c r="M2" i="2"/>
  <c r="F2" i="3"/>
  <c r="F11" i="5" s="1"/>
  <c r="M22" i="5" s="1"/>
  <c r="O2" i="2"/>
  <c r="L23" i="5"/>
  <c r="J2" i="2"/>
  <c r="J7" i="5" s="1"/>
  <c r="K2" i="2"/>
  <c r="G2" i="3"/>
  <c r="G11" i="5" s="1"/>
  <c r="P2" i="2"/>
  <c r="C53" i="5"/>
  <c r="R2" i="2"/>
  <c r="N7" i="5" s="1"/>
  <c r="N22" i="5" s="1"/>
  <c r="D2" i="3"/>
  <c r="I2" i="2"/>
  <c r="M7" i="5" s="1"/>
  <c r="Q2" i="2"/>
  <c r="C52" i="5"/>
  <c r="H128" i="5"/>
  <c r="M28" i="5"/>
  <c r="M24" i="5"/>
  <c r="R94" i="5" s="1"/>
  <c r="G136" i="5"/>
  <c r="K244" i="5"/>
  <c r="H193" i="5"/>
  <c r="H161" i="5"/>
  <c r="H192" i="5"/>
  <c r="H190" i="5"/>
  <c r="H160" i="5"/>
  <c r="H194" i="5"/>
  <c r="H191" i="5"/>
  <c r="H159" i="5"/>
  <c r="H236" i="5"/>
  <c r="H197" i="5"/>
  <c r="H165" i="5"/>
  <c r="H126" i="5"/>
  <c r="H196" i="5"/>
  <c r="H164" i="5"/>
  <c r="H125" i="5"/>
  <c r="H195" i="5"/>
  <c r="H163" i="5"/>
  <c r="H158" i="5"/>
  <c r="H181" i="5"/>
  <c r="H149" i="5"/>
  <c r="H162" i="5"/>
  <c r="H180" i="5"/>
  <c r="H141" i="5"/>
  <c r="H170" i="5"/>
  <c r="H179" i="5"/>
  <c r="H140" i="5"/>
  <c r="H135" i="5"/>
  <c r="H177" i="5"/>
  <c r="H138" i="5"/>
  <c r="H150" i="5"/>
  <c r="H176" i="5"/>
  <c r="H137" i="5"/>
  <c r="H154" i="5"/>
  <c r="H175" i="5"/>
  <c r="H136" i="5"/>
  <c r="H198" i="5"/>
  <c r="H127" i="5"/>
  <c r="H189" i="5"/>
  <c r="H173" i="5"/>
  <c r="H157" i="5"/>
  <c r="H134" i="5"/>
  <c r="H182" i="5"/>
  <c r="H131" i="5"/>
  <c r="H188" i="5"/>
  <c r="H172" i="5"/>
  <c r="H156" i="5"/>
  <c r="H133" i="5"/>
  <c r="H186" i="5"/>
  <c r="H139" i="5"/>
  <c r="H187" i="5"/>
  <c r="H171" i="5"/>
  <c r="H155" i="5"/>
  <c r="H132" i="5"/>
  <c r="L244" i="5"/>
  <c r="H166" i="5"/>
  <c r="H201" i="5"/>
  <c r="H185" i="5"/>
  <c r="H169" i="5"/>
  <c r="H153" i="5"/>
  <c r="H130" i="5"/>
  <c r="H174" i="5"/>
  <c r="H200" i="5"/>
  <c r="H184" i="5"/>
  <c r="H168" i="5"/>
  <c r="H152" i="5"/>
  <c r="H129" i="5"/>
  <c r="H178" i="5"/>
  <c r="H199" i="5"/>
  <c r="H183" i="5"/>
  <c r="H167" i="5"/>
  <c r="H151" i="5"/>
  <c r="G133" i="5"/>
  <c r="G130" i="5"/>
  <c r="G201" i="5"/>
  <c r="G194" i="5"/>
  <c r="G156" i="5"/>
  <c r="G153" i="5"/>
  <c r="G139" i="5"/>
  <c r="G179" i="5"/>
  <c r="G172" i="5"/>
  <c r="G169" i="5"/>
  <c r="G162" i="5"/>
  <c r="G159" i="5"/>
  <c r="G167" i="5"/>
  <c r="G188" i="5"/>
  <c r="G185" i="5"/>
  <c r="G178" i="5"/>
  <c r="G171" i="5"/>
  <c r="G151" i="5"/>
  <c r="G137" i="5"/>
  <c r="G160" i="5"/>
  <c r="G176" i="5"/>
  <c r="G192" i="5"/>
  <c r="G134" i="5"/>
  <c r="G157" i="5"/>
  <c r="G173" i="5"/>
  <c r="G189" i="5"/>
  <c r="G127" i="5"/>
  <c r="G150" i="5"/>
  <c r="G166" i="5"/>
  <c r="G182" i="5"/>
  <c r="G198" i="5"/>
  <c r="G163" i="5"/>
  <c r="G187" i="5"/>
  <c r="G132" i="5"/>
  <c r="G199" i="5"/>
  <c r="G128" i="5"/>
  <c r="G141" i="5"/>
  <c r="G164" i="5"/>
  <c r="G180" i="5"/>
  <c r="G196" i="5"/>
  <c r="G138" i="5"/>
  <c r="G161" i="5"/>
  <c r="G177" i="5"/>
  <c r="G193" i="5"/>
  <c r="G131" i="5"/>
  <c r="G154" i="5"/>
  <c r="G170" i="5"/>
  <c r="G186" i="5"/>
  <c r="G202" i="5"/>
  <c r="G140" i="5"/>
  <c r="G155" i="5"/>
  <c r="G175" i="5"/>
  <c r="G183" i="5"/>
  <c r="G129" i="5"/>
  <c r="G152" i="5"/>
  <c r="G168" i="5"/>
  <c r="G184" i="5"/>
  <c r="G200" i="5"/>
  <c r="G149" i="5"/>
  <c r="G165" i="5"/>
  <c r="G181" i="5"/>
  <c r="G197" i="5"/>
  <c r="G135" i="5"/>
  <c r="G158" i="5"/>
  <c r="G174" i="5"/>
  <c r="G190" i="5"/>
  <c r="G195" i="5"/>
  <c r="G191" i="5"/>
  <c r="G203" i="5"/>
  <c r="R128" i="5" l="1"/>
  <c r="R121" i="5"/>
  <c r="R127" i="5"/>
  <c r="R124" i="5"/>
  <c r="R125" i="5"/>
  <c r="R122" i="5"/>
  <c r="R130" i="5"/>
  <c r="R131" i="5"/>
  <c r="M33" i="5"/>
  <c r="N40" i="5"/>
  <c r="M37" i="5"/>
  <c r="M40" i="5"/>
  <c r="R72" i="5"/>
  <c r="T72" i="5" s="1"/>
  <c r="G24" i="5"/>
  <c r="E18" i="5"/>
  <c r="R102" i="5"/>
  <c r="M29" i="5" s="1"/>
  <c r="G26" i="5"/>
  <c r="G28" i="5"/>
  <c r="G30" i="5"/>
  <c r="G32" i="5"/>
  <c r="G34" i="5"/>
  <c r="G36" i="5"/>
  <c r="G38" i="5"/>
  <c r="G40" i="5"/>
  <c r="G42" i="5"/>
  <c r="G44" i="5"/>
  <c r="G46" i="5"/>
  <c r="G48" i="5"/>
  <c r="G50" i="5"/>
  <c r="G27" i="5"/>
  <c r="G29" i="5"/>
  <c r="G31" i="5"/>
  <c r="G33" i="5"/>
  <c r="G35" i="5"/>
  <c r="G37" i="5"/>
  <c r="G39" i="5"/>
  <c r="G41" i="5"/>
  <c r="G43" i="5"/>
  <c r="G45" i="5"/>
  <c r="G47" i="5"/>
  <c r="G49" i="5"/>
  <c r="E57" i="5"/>
  <c r="E55" i="5"/>
  <c r="E56" i="5"/>
  <c r="H18" i="5"/>
  <c r="R76" i="5" s="1"/>
  <c r="F17" i="5"/>
  <c r="R78" i="5" s="1"/>
  <c r="D18" i="5"/>
  <c r="D25" i="5" s="1"/>
  <c r="G17" i="5"/>
  <c r="G18" i="5"/>
  <c r="D17" i="5"/>
  <c r="E160" i="5"/>
  <c r="E176" i="5"/>
  <c r="E193" i="5"/>
  <c r="E191" i="5"/>
  <c r="E161" i="5"/>
  <c r="E196" i="5"/>
  <c r="E150" i="5"/>
  <c r="E133" i="5"/>
  <c r="E151" i="5"/>
  <c r="E166" i="5"/>
  <c r="E152" i="5"/>
  <c r="E164" i="5"/>
  <c r="E178" i="5"/>
  <c r="E177" i="5"/>
  <c r="E192" i="5"/>
  <c r="E197" i="5"/>
  <c r="E203" i="5"/>
  <c r="E181" i="5"/>
  <c r="E128" i="5"/>
  <c r="E180" i="5"/>
  <c r="E134" i="5"/>
  <c r="E183" i="5"/>
  <c r="E190" i="5"/>
  <c r="E198" i="5"/>
  <c r="E163" i="5"/>
  <c r="E130" i="5"/>
  <c r="E184" i="5"/>
  <c r="E199" i="5"/>
  <c r="E131" i="5"/>
  <c r="E167" i="5"/>
  <c r="E200" i="5"/>
  <c r="E140" i="5"/>
  <c r="E158" i="5"/>
  <c r="E137" i="5"/>
  <c r="E153" i="5"/>
  <c r="E170" i="5"/>
  <c r="E135" i="5"/>
  <c r="E168" i="5"/>
  <c r="E171" i="5"/>
  <c r="E182" i="5"/>
  <c r="E154" i="5"/>
  <c r="E187" i="5"/>
  <c r="E202" i="5"/>
  <c r="E157" i="5"/>
  <c r="E141" i="5"/>
  <c r="E127" i="5"/>
  <c r="E155" i="5"/>
  <c r="E156" i="5"/>
  <c r="E174" i="5"/>
  <c r="E139" i="5"/>
  <c r="E172" i="5"/>
  <c r="E175" i="5"/>
  <c r="E186" i="5"/>
  <c r="E188" i="5"/>
  <c r="E165" i="5"/>
  <c r="E136" i="5"/>
  <c r="E179" i="5"/>
  <c r="E129" i="5"/>
  <c r="E185" i="5"/>
  <c r="E149" i="5"/>
  <c r="E195" i="5"/>
  <c r="E162" i="5"/>
  <c r="E159" i="5"/>
  <c r="E201" i="5"/>
  <c r="E132" i="5"/>
  <c r="E173" i="5"/>
  <c r="E194" i="5"/>
  <c r="E169" i="5"/>
  <c r="E138" i="5"/>
  <c r="E189" i="5"/>
  <c r="Q159" i="5" l="1"/>
  <c r="R108" i="5"/>
  <c r="R116" i="5"/>
  <c r="R109" i="5"/>
  <c r="L33" i="5" s="1"/>
  <c r="R101" i="5"/>
  <c r="L29" i="5" s="1"/>
  <c r="R117" i="5"/>
  <c r="L37" i="5" s="1"/>
  <c r="M25" i="5"/>
  <c r="F25" i="5"/>
  <c r="R74" i="5"/>
  <c r="T74" i="5" s="1"/>
  <c r="E24" i="5"/>
  <c r="E25" i="5"/>
  <c r="S72" i="5"/>
  <c r="F24" i="5"/>
  <c r="R75" i="5"/>
  <c r="D24" i="5"/>
  <c r="R79" i="5"/>
  <c r="R100" i="5"/>
  <c r="R92" i="5"/>
  <c r="R73" i="5"/>
  <c r="S73" i="5" s="1"/>
  <c r="E28" i="5"/>
  <c r="R77" i="5"/>
  <c r="R93" i="5"/>
  <c r="L25" i="5" s="1"/>
  <c r="F26" i="5"/>
  <c r="F28" i="5"/>
  <c r="F30" i="5"/>
  <c r="F32" i="5"/>
  <c r="F34" i="5"/>
  <c r="F36" i="5"/>
  <c r="F38" i="5"/>
  <c r="F40" i="5"/>
  <c r="F42" i="5"/>
  <c r="F44" i="5"/>
  <c r="F46" i="5"/>
  <c r="F48" i="5"/>
  <c r="F50" i="5"/>
  <c r="F27" i="5"/>
  <c r="F29" i="5"/>
  <c r="F31" i="5"/>
  <c r="F33" i="5"/>
  <c r="F35" i="5"/>
  <c r="F37" i="5"/>
  <c r="F39" i="5"/>
  <c r="F41" i="5"/>
  <c r="F43" i="5"/>
  <c r="F45" i="5"/>
  <c r="F47" i="5"/>
  <c r="F49" i="5"/>
  <c r="D30" i="5"/>
  <c r="D42" i="5"/>
  <c r="D46" i="5"/>
  <c r="D50" i="5"/>
  <c r="D27" i="5"/>
  <c r="D29" i="5"/>
  <c r="D31" i="5"/>
  <c r="D33" i="5"/>
  <c r="D35" i="5"/>
  <c r="D37" i="5"/>
  <c r="D39" i="5"/>
  <c r="D41" i="5"/>
  <c r="D43" i="5"/>
  <c r="D45" i="5"/>
  <c r="D47" i="5"/>
  <c r="D49" i="5"/>
  <c r="D34" i="5"/>
  <c r="D32" i="5"/>
  <c r="D26" i="5"/>
  <c r="D28" i="5"/>
  <c r="D36" i="5"/>
  <c r="D38" i="5"/>
  <c r="D40" i="5"/>
  <c r="D44" i="5"/>
  <c r="D48" i="5"/>
  <c r="E26" i="5"/>
  <c r="E30" i="5"/>
  <c r="E34" i="5"/>
  <c r="E38" i="5"/>
  <c r="E44" i="5"/>
  <c r="E48" i="5"/>
  <c r="E27" i="5"/>
  <c r="E29" i="5"/>
  <c r="E31" i="5"/>
  <c r="E33" i="5"/>
  <c r="E35" i="5"/>
  <c r="E37" i="5"/>
  <c r="E39" i="5"/>
  <c r="E41" i="5"/>
  <c r="E43" i="5"/>
  <c r="E45" i="5"/>
  <c r="E47" i="5"/>
  <c r="E49" i="5"/>
  <c r="E32" i="5"/>
  <c r="E36" i="5"/>
  <c r="E40" i="5"/>
  <c r="E46" i="5"/>
  <c r="E50" i="5"/>
  <c r="E42" i="5"/>
  <c r="D55" i="5"/>
  <c r="D57" i="5"/>
  <c r="D56" i="5"/>
  <c r="G55" i="5"/>
  <c r="G57" i="5"/>
  <c r="G56" i="5"/>
  <c r="F55" i="5"/>
  <c r="F57" i="5"/>
  <c r="F56" i="5"/>
  <c r="D54" i="5"/>
  <c r="F54" i="5"/>
  <c r="E54" i="5"/>
  <c r="G54" i="5"/>
  <c r="R141" i="5" l="1"/>
  <c r="R140" i="5"/>
  <c r="R146" i="5"/>
  <c r="R145" i="5"/>
  <c r="R144" i="5"/>
  <c r="R142" i="5"/>
  <c r="R143" i="5"/>
  <c r="R147" i="5"/>
  <c r="S74" i="5"/>
  <c r="R85" i="5"/>
  <c r="R84" i="5"/>
  <c r="T73" i="5"/>
  <c r="T75" i="5"/>
  <c r="S75" i="5"/>
  <c r="K42" i="5" l="1"/>
  <c r="R115" i="5"/>
  <c r="R107" i="5"/>
  <c r="K33" i="5" s="1"/>
  <c r="R99" i="5"/>
  <c r="K29" i="5" s="1"/>
  <c r="R91" i="5"/>
  <c r="K25" i="5" s="1"/>
  <c r="R106" i="5" l="1"/>
  <c r="K37" i="5"/>
  <c r="R114" i="5"/>
  <c r="R98" i="5"/>
  <c r="R90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<sst xmlns="http://schemas.openxmlformats.org/spreadsheetml/2006/main" count="189" uniqueCount="130">
  <si>
    <t>hybrid</t>
  </si>
  <si>
    <t>[mm]</t>
  </si>
  <si>
    <t>[m²]</t>
  </si>
  <si>
    <t>Jinko Neo 415W</t>
  </si>
  <si>
    <t>Jinko Neo 420W</t>
  </si>
  <si>
    <t>Jinko Neo 425W</t>
  </si>
  <si>
    <t>Jinko neo 430W</t>
  </si>
  <si>
    <t>Jinko Neo 410W</t>
  </si>
  <si>
    <t>Jinko Tiger Pro 395W</t>
  </si>
  <si>
    <t>Jinko Tiger Pro 400W</t>
  </si>
  <si>
    <t>Jinko Tiger Pro 405W</t>
  </si>
  <si>
    <t>Jinko Tiger Pro 410W</t>
  </si>
  <si>
    <t>Jinko Tiger Pro 415W</t>
  </si>
  <si>
    <t>Phono Solar Twinplus X 395W</t>
  </si>
  <si>
    <t>Phono Solar Twinplus X 405W</t>
  </si>
  <si>
    <t>Phono Solar Twinplus X 400W</t>
  </si>
  <si>
    <t>Phono Solar Twinplus X 410W</t>
  </si>
  <si>
    <t>Phono Solar Twinplus X 415W</t>
  </si>
  <si>
    <t>Phono Solar Twinplus X 415W NOCT</t>
  </si>
  <si>
    <t>Impp</t>
  </si>
  <si>
    <t>Impp &lt; 300Vdc</t>
  </si>
  <si>
    <t>Isc</t>
  </si>
  <si>
    <t>kWp</t>
  </si>
  <si>
    <t>kW</t>
  </si>
  <si>
    <t>Vdc</t>
  </si>
  <si>
    <t>A</t>
  </si>
  <si>
    <t>m²</t>
  </si>
  <si>
    <t>mm</t>
  </si>
  <si>
    <t>%</t>
  </si>
  <si>
    <t>mA/K</t>
  </si>
  <si>
    <t>%/K</t>
  </si>
  <si>
    <t>mV/K</t>
  </si>
  <si>
    <t>Wp</t>
  </si>
  <si>
    <t>°C</t>
  </si>
  <si>
    <t>Δ Isc/°C</t>
  </si>
  <si>
    <t>Vmpp max Panels -°C</t>
  </si>
  <si>
    <t>Vmpp min Panels +°C</t>
  </si>
  <si>
    <t>Voc min Panels +°C</t>
  </si>
  <si>
    <t>Voc max Panels -°C</t>
  </si>
  <si>
    <t>1/-1 panel</t>
  </si>
  <si>
    <t>min panels</t>
  </si>
  <si>
    <t>max panels</t>
  </si>
  <si>
    <t>@ TEMP</t>
  </si>
  <si>
    <t>mW/K</t>
  </si>
  <si>
    <t>Pmpp</t>
  </si>
  <si>
    <t>Sapphire 415 M108</t>
  </si>
  <si>
    <t>Vitovolt M410 WE</t>
  </si>
  <si>
    <t>Δ Pmpp/°C</t>
  </si>
  <si>
    <t>W</t>
  </si>
  <si>
    <t>Pmpp max -°C</t>
  </si>
  <si>
    <t>Isc MAX</t>
  </si>
  <si>
    <t>Umpp</t>
  </si>
  <si>
    <t>Uoc</t>
  </si>
  <si>
    <t>Uoc    MAX</t>
  </si>
  <si>
    <t>Uoc    MIN</t>
  </si>
  <si>
    <t>Umppt    MAX</t>
  </si>
  <si>
    <t>Umppt    MIN</t>
  </si>
  <si>
    <t>Δ Uoc/°C</t>
  </si>
  <si>
    <t>Isc max +°C</t>
  </si>
  <si>
    <t>Uoc MIN</t>
  </si>
  <si>
    <t>Uoc MAX</t>
  </si>
  <si>
    <t>Impp max +°C &lt; 300V</t>
  </si>
  <si>
    <t>MPPT1</t>
  </si>
  <si>
    <t>MPPT2</t>
  </si>
  <si>
    <t>okay</t>
  </si>
  <si>
    <t>MPPT 1</t>
  </si>
  <si>
    <t>panel number</t>
  </si>
  <si>
    <t>power</t>
  </si>
  <si>
    <t>string number</t>
  </si>
  <si>
    <t>MPPT 2</t>
  </si>
  <si>
    <t>string current limited</t>
  </si>
  <si>
    <t>Status</t>
  </si>
  <si>
    <t>PV power total &gt;15kW</t>
  </si>
  <si>
    <t>PV-MODULE NAME</t>
  </si>
  <si>
    <t>Umpp MIN</t>
  </si>
  <si>
    <t>Umpp MAX</t>
  </si>
  <si>
    <t>Isc MIN</t>
  </si>
  <si>
    <t>Impp MAX</t>
  </si>
  <si>
    <t>Imppt MIN</t>
  </si>
  <si>
    <t>PANELS
/STRING</t>
  </si>
  <si>
    <t>STRINGS</t>
  </si>
  <si>
    <t>Impp &gt; 300Vdc</t>
  </si>
  <si>
    <t>Total</t>
  </si>
  <si>
    <t>wrong panel number</t>
  </si>
  <si>
    <t>Zu viele Strings</t>
  </si>
  <si>
    <t>Zu viel PV Leistung</t>
  </si>
  <si>
    <t>to many strings</t>
  </si>
  <si>
    <t>JASolar JAM54D41-430/LB</t>
  </si>
  <si>
    <t>h10 (low PV)</t>
  </si>
  <si>
    <t>h10 (standard)</t>
  </si>
  <si>
    <t>i10</t>
  </si>
  <si>
    <t>i20</t>
  </si>
  <si>
    <t>i30</t>
  </si>
  <si>
    <t>Hi-MO 6 LR5-54HTB 430W</t>
  </si>
  <si>
    <t>HAT-SAAE HT60-166M 380W</t>
  </si>
  <si>
    <t>Aiko 445 Full Black</t>
  </si>
  <si>
    <t>PV PowerTech PVQ3 235</t>
  </si>
  <si>
    <t>Tiger Neo N-type 60HL4-(V) 480 Watt</t>
  </si>
  <si>
    <t>Sapphire M108 395Wp</t>
  </si>
  <si>
    <t>WINAICO WST-450NFX54-B1 Glas/Glas FB</t>
  </si>
  <si>
    <t>MPPT 3</t>
  </si>
  <si>
    <t>MPPT 4</t>
  </si>
  <si>
    <t>h10</t>
  </si>
  <si>
    <t>PV power total &gt;30kW</t>
  </si>
  <si>
    <t>PV power total &gt; 45kW</t>
  </si>
  <si>
    <t>PV power total &gt; 10kW</t>
  </si>
  <si>
    <t>PV power total &gt; 20kW</t>
  </si>
  <si>
    <t>PV power total &gt; 30kW</t>
  </si>
  <si>
    <t>i10 ausgewählt</t>
  </si>
  <si>
    <t>i20 ausgewählt</t>
  </si>
  <si>
    <t>i30 ausgewählt</t>
  </si>
  <si>
    <t>h10 (low PV) ausgewählt</t>
  </si>
  <si>
    <t>h10 (standard) ausgewählt</t>
  </si>
  <si>
    <t>h10 Text DE</t>
  </si>
  <si>
    <t>h10 Text EN</t>
  </si>
  <si>
    <t>i10 Text DE</t>
  </si>
  <si>
    <t>i10 Text EN</t>
  </si>
  <si>
    <t>i20 Text DE</t>
  </si>
  <si>
    <t>i20 Text EN</t>
  </si>
  <si>
    <t>i30 Text DE</t>
  </si>
  <si>
    <t>i30 Text EN</t>
  </si>
  <si>
    <t>Farben für PV Power</t>
  </si>
  <si>
    <t>Feld in gelb anzeigen</t>
  </si>
  <si>
    <t>DE</t>
  </si>
  <si>
    <t>WR Auswahl</t>
  </si>
  <si>
    <t>Hyundai HiT-H445LE-FB</t>
  </si>
  <si>
    <t>Falsche Panel-Anzahl</t>
  </si>
  <si>
    <t>too much PV power</t>
  </si>
  <si>
    <t>Bisol Laminate BDO 435Wp</t>
  </si>
  <si>
    <t>Bisol Laminate BBO 530Wp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</si>
</sst>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\ &quot; kWh&quot;"/>
    <numFmt numFmtId="165" formatCode="0.0&quot; kW&quot;"/>
    <numFmt numFmtId="166" formatCode="0&quot; Vdc&quot;"/>
    <numFmt numFmtId="167" formatCode="0.0\ &quot; A&quot;"/>
    <numFmt numFmtId="168" formatCode="0&quot; Wp&quot;"/>
    <numFmt numFmtId="169" formatCode="0.00&quot; A&quot;"/>
    <numFmt numFmtId="170" formatCode="0.0&quot; A&quot;"/>
    <numFmt numFmtId="171" formatCode="0.0&quot; kWp&quot;"/>
    <numFmt numFmtId="172" formatCode="0.0&quot; Vdc&quot;"/>
    <numFmt numFmtId="173" formatCode="0&quot; °C&quot;"/>
    <numFmt numFmtId="174" formatCode="0.00&quot; m²&quot;"/>
    <numFmt numFmtId="175" formatCode="0.0&quot; kWh&quot;"/>
    <numFmt numFmtId="176" formatCode="0.00\ &quot;m²&quot;"/>
    <numFmt numFmtId="177" formatCode="0.0"/>
    <numFmt numFmtId="178" formatCode="\+0.00;\-0.00;0.00"/>
    <numFmt numFmtId="179" formatCode="\+0.000;\-0.000;0.000"/>
    <numFmt numFmtId="180" formatCode="\+0.0;\-0.0;0.0"/>
    <numFmt numFmtId="181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color theme="0"/>
      <name val="Raleway"/>
      <family val="2"/>
    </font>
    <font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8"/>
      <name val="Calibri Light"/>
      <family val="2"/>
      <scheme val="major"/>
    </font>
    <font>
      <strike/>
      <sz val="11"/>
      <color rgb="FFFF0000"/>
      <name val="Calibri Light"/>
      <family val="2"/>
      <scheme val="major"/>
    </font>
    <font>
      <sz val="10"/>
      <color theme="1"/>
      <name val="Raleway"/>
      <family val="2"/>
    </font>
    <font>
      <sz val="10"/>
      <name val="Raleway"/>
      <family val="2"/>
    </font>
    <font>
      <u/>
      <sz val="11"/>
      <name val="Calibri Light"/>
      <family val="2"/>
      <scheme val="major"/>
    </font>
    <font>
      <sz val="9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9" tint="-0.499984740745262"/>
      <name val="Calibri Light"/>
      <family val="2"/>
      <scheme val="major"/>
    </font>
    <font>
      <sz val="11"/>
      <color theme="7" tint="-0.499984740745262"/>
      <name val="Calibri Light"/>
      <family val="2"/>
      <scheme val="major"/>
    </font>
    <font>
      <sz val="11"/>
      <color rgb="FFFF9999"/>
      <name val="Calibri Light"/>
      <family val="2"/>
      <scheme val="major"/>
    </font>
    <font>
      <sz val="10"/>
      <name val="Calibri Light"/>
      <family val="2"/>
    </font>
    <font>
      <sz val="9"/>
      <name val="Calibri Light"/>
      <family val="2"/>
      <scheme val="major"/>
    </font>
    <font>
      <sz val="8"/>
      <name val="Calibri"/>
      <family val="2"/>
      <scheme val="minor"/>
    </font>
    <font>
      <b/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E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rgb="FF92D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92D050"/>
      </bottom>
      <diagonal/>
    </border>
    <border>
      <left style="thin">
        <color indexed="64"/>
      </left>
      <right/>
      <top style="medium">
        <color indexed="64"/>
      </top>
      <bottom style="medium">
        <color rgb="FF92D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92D050"/>
      </bottom>
      <diagonal/>
    </border>
    <border>
      <left style="medium">
        <color indexed="64"/>
      </left>
      <right style="thin">
        <color theme="0" tint="-0.249977111117893"/>
      </right>
      <top style="medium">
        <color rgb="FF92D050"/>
      </top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92D05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rgb="FF92D050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92D050"/>
      </top>
      <bottom style="medium">
        <color rgb="FF92D050"/>
      </bottom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/>
      <right/>
      <top/>
      <bottom style="thick">
        <color rgb="FFB4DE86"/>
      </bottom>
      <diagonal/>
    </border>
    <border>
      <left style="thin">
        <color theme="0" tint="-0.249977111117893"/>
      </left>
      <right style="medium">
        <color indexed="64"/>
      </right>
      <top style="medium">
        <color rgb="FF92D050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rgb="FFB4DE86"/>
      </top>
      <bottom style="thick">
        <color rgb="FFC0E399"/>
      </bottom>
      <diagonal/>
    </border>
    <border>
      <left style="double">
        <color indexed="64"/>
      </left>
      <right/>
      <top/>
      <bottom/>
      <diagonal/>
    </border>
    <border>
      <left style="thick">
        <color rgb="FFC0E399"/>
      </left>
      <right style="thick">
        <color rgb="FFC0E399"/>
      </right>
      <top style="thick">
        <color rgb="FFC0E399"/>
      </top>
      <bottom style="thick">
        <color rgb="FFC0E399"/>
      </bottom>
      <diagonal/>
    </border>
    <border>
      <left style="medium">
        <color indexed="64"/>
      </left>
      <right/>
      <top style="thick">
        <color rgb="FFB4DE86"/>
      </top>
      <bottom style="thick">
        <color rgb="FFC0E3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E399"/>
      </bottom>
      <diagonal/>
    </border>
    <border>
      <left/>
      <right style="double">
        <color indexed="64"/>
      </right>
      <top/>
      <bottom style="medium">
        <color rgb="FFC0E399"/>
      </bottom>
      <diagonal/>
    </border>
    <border>
      <left/>
      <right/>
      <top style="medium">
        <color rgb="FFC0E399"/>
      </top>
      <bottom style="medium">
        <color rgb="FFC0E399"/>
      </bottom>
      <diagonal/>
    </border>
    <border>
      <left/>
      <right style="thin">
        <color indexed="64"/>
      </right>
      <top/>
      <bottom style="medium">
        <color rgb="FFC0E399"/>
      </bottom>
      <diagonal/>
    </border>
    <border>
      <left style="thin">
        <color indexed="64"/>
      </left>
      <right style="thin">
        <color indexed="64"/>
      </right>
      <top/>
      <bottom style="medium">
        <color rgb="FFC0E399"/>
      </bottom>
      <diagonal/>
    </border>
    <border>
      <left/>
      <right/>
      <top/>
      <bottom style="thick">
        <color rgb="FFFC8888"/>
      </bottom>
      <diagonal/>
    </border>
    <border>
      <left style="thin">
        <color indexed="64"/>
      </left>
      <right/>
      <top/>
      <bottom style="medium">
        <color rgb="FFC0E399"/>
      </bottom>
      <diagonal/>
    </border>
    <border>
      <left style="medium">
        <color rgb="FFC0E399"/>
      </left>
      <right/>
      <top/>
      <bottom/>
      <diagonal/>
    </border>
    <border>
      <left/>
      <right style="medium">
        <color rgb="FFC0E39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0E399"/>
      </top>
      <bottom/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C0E399"/>
      </top>
      <bottom style="thick">
        <color rgb="FFFF7C80"/>
      </bottom>
      <diagonal/>
    </border>
    <border>
      <left/>
      <right/>
      <top style="thick">
        <color theme="8" tint="0.39997558519241921"/>
      </top>
      <bottom style="thin">
        <color indexed="64"/>
      </bottom>
      <diagonal/>
    </border>
    <border>
      <left/>
      <right/>
      <top style="thick">
        <color rgb="FFFC8888"/>
      </top>
      <bottom style="thick">
        <color theme="8" tint="0.39997558519241921"/>
      </bottom>
      <diagonal/>
    </border>
    <border>
      <left/>
      <right/>
      <top style="thick">
        <color theme="8" tint="0.39997558519241921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0" fontId="1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10" fontId="6" fillId="4" borderId="4" xfId="0" applyNumberFormat="1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172" fontId="1" fillId="2" borderId="0" xfId="0" applyNumberFormat="1" applyFont="1" applyFill="1" applyAlignment="1" applyProtection="1">
      <alignment horizontal="center" vertical="center"/>
      <protection hidden="1"/>
    </xf>
    <xf numFmtId="168" fontId="5" fillId="2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1" fillId="2" borderId="7" xfId="0" applyFont="1" applyFill="1" applyBorder="1" applyProtection="1">
      <protection locked="0" hidden="1"/>
    </xf>
    <xf numFmtId="0" fontId="1" fillId="2" borderId="8" xfId="0" applyFont="1" applyFill="1" applyBorder="1" applyProtection="1">
      <protection locked="0" hidden="1"/>
    </xf>
    <xf numFmtId="0" fontId="1" fillId="2" borderId="9" xfId="0" applyFont="1" applyFill="1" applyBorder="1" applyProtection="1">
      <protection locked="0"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10" fontId="6" fillId="4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1" fontId="1" fillId="2" borderId="10" xfId="0" applyNumberFormat="1" applyFont="1" applyFill="1" applyBorder="1" applyAlignment="1" applyProtection="1">
      <alignment horizontal="center"/>
      <protection locked="0" hidden="1"/>
    </xf>
    <xf numFmtId="2" fontId="1" fillId="2" borderId="10" xfId="0" applyNumberFormat="1" applyFont="1" applyFill="1" applyBorder="1" applyAlignment="1" applyProtection="1">
      <alignment horizontal="center"/>
      <protection locked="0" hidden="1"/>
    </xf>
    <xf numFmtId="1" fontId="1" fillId="2" borderId="11" xfId="0" applyNumberFormat="1" applyFont="1" applyFill="1" applyBorder="1" applyAlignment="1" applyProtection="1">
      <alignment horizontal="center"/>
      <protection locked="0" hidden="1"/>
    </xf>
    <xf numFmtId="2" fontId="1" fillId="2" borderId="11" xfId="0" applyNumberFormat="1" applyFont="1" applyFill="1" applyBorder="1" applyAlignment="1" applyProtection="1">
      <alignment horizontal="center"/>
      <protection locked="0" hidden="1"/>
    </xf>
    <xf numFmtId="1" fontId="1" fillId="2" borderId="12" xfId="0" applyNumberFormat="1" applyFont="1" applyFill="1" applyBorder="1" applyAlignment="1" applyProtection="1">
      <alignment horizontal="center"/>
      <protection locked="0" hidden="1"/>
    </xf>
    <xf numFmtId="2" fontId="1" fillId="2" borderId="12" xfId="0" applyNumberFormat="1" applyFont="1" applyFill="1" applyBorder="1" applyAlignment="1" applyProtection="1">
      <alignment horizontal="center"/>
      <protection locked="0" hidden="1"/>
    </xf>
    <xf numFmtId="10" fontId="1" fillId="2" borderId="10" xfId="0" applyNumberFormat="1" applyFont="1" applyFill="1" applyBorder="1" applyAlignment="1" applyProtection="1">
      <alignment horizontal="center"/>
      <protection locked="0" hidden="1"/>
    </xf>
    <xf numFmtId="1" fontId="1" fillId="2" borderId="13" xfId="0" applyNumberFormat="1" applyFont="1" applyFill="1" applyBorder="1" applyAlignment="1" applyProtection="1">
      <alignment horizontal="center"/>
      <protection locked="0" hidden="1"/>
    </xf>
    <xf numFmtId="10" fontId="1" fillId="2" borderId="11" xfId="0" applyNumberFormat="1" applyFont="1" applyFill="1" applyBorder="1" applyAlignment="1" applyProtection="1">
      <alignment horizontal="center"/>
      <protection locked="0" hidden="1"/>
    </xf>
    <xf numFmtId="1" fontId="1" fillId="2" borderId="14" xfId="0" applyNumberFormat="1" applyFont="1" applyFill="1" applyBorder="1" applyAlignment="1" applyProtection="1">
      <alignment horizontal="center"/>
      <protection locked="0" hidden="1"/>
    </xf>
    <xf numFmtId="10" fontId="1" fillId="2" borderId="12" xfId="0" applyNumberFormat="1" applyFont="1" applyFill="1" applyBorder="1" applyAlignment="1" applyProtection="1">
      <alignment horizontal="center"/>
      <protection locked="0" hidden="1"/>
    </xf>
    <xf numFmtId="1" fontId="1" fillId="2" borderId="15" xfId="0" applyNumberFormat="1" applyFont="1" applyFill="1" applyBorder="1" applyAlignment="1" applyProtection="1">
      <alignment horizontal="center"/>
      <protection locked="0"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178" fontId="1" fillId="2" borderId="10" xfId="0" applyNumberFormat="1" applyFont="1" applyFill="1" applyBorder="1" applyAlignment="1" applyProtection="1">
      <alignment horizontal="center"/>
      <protection locked="0" hidden="1"/>
    </xf>
    <xf numFmtId="178" fontId="1" fillId="2" borderId="11" xfId="0" applyNumberFormat="1" applyFont="1" applyFill="1" applyBorder="1" applyAlignment="1" applyProtection="1">
      <alignment horizontal="center"/>
      <protection locked="0" hidden="1"/>
    </xf>
    <xf numFmtId="178" fontId="1" fillId="2" borderId="12" xfId="0" applyNumberFormat="1" applyFont="1" applyFill="1" applyBorder="1" applyAlignment="1" applyProtection="1">
      <alignment horizontal="center"/>
      <protection locked="0" hidden="1"/>
    </xf>
    <xf numFmtId="179" fontId="1" fillId="2" borderId="10" xfId="0" applyNumberFormat="1" applyFont="1" applyFill="1" applyBorder="1" applyAlignment="1" applyProtection="1">
      <alignment horizontal="center"/>
      <protection locked="0" hidden="1"/>
    </xf>
    <xf numFmtId="179" fontId="1" fillId="2" borderId="11" xfId="0" applyNumberFormat="1" applyFont="1" applyFill="1" applyBorder="1" applyAlignment="1" applyProtection="1">
      <alignment horizontal="center"/>
      <protection locked="0" hidden="1"/>
    </xf>
    <xf numFmtId="179" fontId="1" fillId="2" borderId="12" xfId="0" applyNumberFormat="1" applyFont="1" applyFill="1" applyBorder="1" applyAlignment="1" applyProtection="1">
      <alignment horizontal="center"/>
      <protection locked="0" hidden="1"/>
    </xf>
    <xf numFmtId="177" fontId="2" fillId="2" borderId="0" xfId="0" applyNumberFormat="1" applyFont="1" applyFill="1" applyAlignment="1" applyProtection="1">
      <alignment horizontal="center" vertical="center"/>
      <protection hidden="1"/>
    </xf>
    <xf numFmtId="177" fontId="2" fillId="2" borderId="0" xfId="0" applyNumberFormat="1" applyFont="1" applyFill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169" fontId="1" fillId="2" borderId="0" xfId="0" applyNumberFormat="1" applyFont="1" applyFill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181" fontId="5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 vertical="center"/>
      <protection hidden="1"/>
    </xf>
    <xf numFmtId="2" fontId="1" fillId="2" borderId="17" xfId="0" applyNumberFormat="1" applyFont="1" applyFill="1" applyBorder="1" applyAlignment="1" applyProtection="1">
      <alignment horizontal="center"/>
      <protection hidden="1"/>
    </xf>
    <xf numFmtId="1" fontId="4" fillId="2" borderId="0" xfId="0" applyNumberFormat="1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/>
      <protection locked="0" hidden="1"/>
    </xf>
    <xf numFmtId="2" fontId="1" fillId="2" borderId="19" xfId="0" applyNumberFormat="1" applyFont="1" applyFill="1" applyBorder="1" applyAlignment="1" applyProtection="1">
      <alignment horizontal="center"/>
      <protection hidden="1"/>
    </xf>
    <xf numFmtId="179" fontId="1" fillId="2" borderId="0" xfId="0" applyNumberFormat="1" applyFont="1" applyFill="1" applyAlignment="1" applyProtection="1">
      <alignment horizontal="center"/>
      <protection locked="0" hidden="1"/>
    </xf>
    <xf numFmtId="0" fontId="5" fillId="2" borderId="20" xfId="0" applyFont="1" applyFill="1" applyBorder="1" applyProtection="1">
      <protection hidden="1"/>
    </xf>
    <xf numFmtId="2" fontId="1" fillId="2" borderId="20" xfId="0" applyNumberFormat="1" applyFont="1" applyFill="1" applyBorder="1" applyAlignment="1" applyProtection="1">
      <alignment horizontal="center"/>
      <protection hidden="1"/>
    </xf>
    <xf numFmtId="180" fontId="1" fillId="2" borderId="14" xfId="0" applyNumberFormat="1" applyFont="1" applyFill="1" applyBorder="1" applyAlignment="1" applyProtection="1">
      <alignment horizontal="center"/>
      <protection locked="0" hidden="1"/>
    </xf>
    <xf numFmtId="0" fontId="1" fillId="2" borderId="11" xfId="0" applyFont="1" applyFill="1" applyBorder="1" applyAlignment="1" applyProtection="1">
      <alignment horizontal="center"/>
      <protection locked="0" hidden="1"/>
    </xf>
    <xf numFmtId="180" fontId="1" fillId="2" borderId="15" xfId="0" applyNumberFormat="1" applyFont="1" applyFill="1" applyBorder="1" applyAlignment="1" applyProtection="1">
      <alignment horizontal="center"/>
      <protection locked="0"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10" fontId="6" fillId="2" borderId="0" xfId="0" applyNumberFormat="1" applyFont="1" applyFill="1" applyAlignment="1" applyProtection="1">
      <alignment horizontal="center" vertical="center"/>
      <protection hidden="1"/>
    </xf>
    <xf numFmtId="177" fontId="1" fillId="3" borderId="0" xfId="0" applyNumberFormat="1" applyFont="1" applyFill="1" applyAlignment="1" applyProtection="1">
      <alignment horizontal="center"/>
      <protection hidden="1"/>
    </xf>
    <xf numFmtId="177" fontId="1" fillId="3" borderId="21" xfId="0" applyNumberFormat="1" applyFont="1" applyFill="1" applyBorder="1" applyAlignment="1" applyProtection="1">
      <alignment horizontal="center"/>
      <protection hidden="1"/>
    </xf>
    <xf numFmtId="0" fontId="6" fillId="4" borderId="22" xfId="0" applyFont="1" applyFill="1" applyBorder="1" applyAlignment="1" applyProtection="1">
      <alignment horizontal="center" vertical="center" wrapText="1"/>
      <protection hidden="1"/>
    </xf>
    <xf numFmtId="2" fontId="1" fillId="2" borderId="14" xfId="0" applyNumberFormat="1" applyFont="1" applyFill="1" applyBorder="1" applyAlignment="1" applyProtection="1">
      <alignment horizontal="center"/>
      <protection locked="0" hidden="1"/>
    </xf>
    <xf numFmtId="2" fontId="1" fillId="2" borderId="0" xfId="0" applyNumberFormat="1" applyFont="1" applyFill="1" applyAlignment="1" applyProtection="1">
      <alignment horizontal="center"/>
      <protection hidden="1"/>
    </xf>
    <xf numFmtId="2" fontId="2" fillId="4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0" xfId="0" applyNumberFormat="1" applyFont="1" applyFill="1" applyAlignment="1" applyProtection="1">
      <alignment horizontal="center" vertical="center" wrapText="1"/>
      <protection hidden="1"/>
    </xf>
    <xf numFmtId="2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5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10" fillId="2" borderId="24" xfId="0" applyFont="1" applyFill="1" applyBorder="1" applyAlignment="1" applyProtection="1">
      <alignment vertical="center"/>
      <protection locked="0" hidden="1"/>
    </xf>
    <xf numFmtId="2" fontId="1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7" fontId="2" fillId="0" borderId="0" xfId="0" applyNumberFormat="1" applyFont="1" applyAlignment="1" applyProtection="1">
      <alignment horizontal="center" vertical="center"/>
      <protection hidden="1"/>
    </xf>
    <xf numFmtId="177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168" fontId="5" fillId="0" borderId="0" xfId="0" applyNumberFormat="1" applyFont="1" applyAlignment="1" applyProtection="1">
      <alignment horizontal="center" vertical="center"/>
      <protection hidden="1"/>
    </xf>
    <xf numFmtId="171" fontId="4" fillId="0" borderId="0" xfId="0" applyNumberFormat="1" applyFont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172" fontId="2" fillId="0" borderId="0" xfId="0" applyNumberFormat="1" applyFont="1" applyAlignment="1" applyProtection="1">
      <alignment horizontal="center" vertical="center"/>
      <protection hidden="1"/>
    </xf>
    <xf numFmtId="168" fontId="2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1" fontId="5" fillId="0" borderId="0" xfId="0" applyNumberFormat="1" applyFont="1" applyAlignment="1" applyProtection="1">
      <alignment horizontal="center" vertical="center"/>
      <protection hidden="1"/>
    </xf>
    <xf numFmtId="168" fontId="12" fillId="0" borderId="0" xfId="0" applyNumberFormat="1" applyFont="1" applyAlignment="1" applyProtection="1">
      <alignment horizontal="center" vertical="center"/>
      <protection hidden="1"/>
    </xf>
    <xf numFmtId="168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173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171" fontId="10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172" fontId="4" fillId="0" borderId="0" xfId="0" applyNumberFormat="1" applyFont="1" applyAlignment="1" applyProtection="1">
      <alignment horizontal="center"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75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9" fontId="4" fillId="0" borderId="0" xfId="0" applyNumberFormat="1" applyFont="1" applyAlignment="1" applyProtection="1">
      <alignment horizontal="center" vertical="center"/>
      <protection hidden="1"/>
    </xf>
    <xf numFmtId="174" fontId="4" fillId="0" borderId="0" xfId="0" applyNumberFormat="1" applyFont="1" applyAlignment="1" applyProtection="1">
      <alignment horizontal="center" vertical="center"/>
      <protection hidden="1"/>
    </xf>
    <xf numFmtId="166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177" fontId="4" fillId="5" borderId="0" xfId="0" applyNumberFormat="1" applyFont="1" applyFill="1" applyAlignment="1" applyProtection="1">
      <alignment horizontal="center" vertical="center"/>
      <protection hidden="1"/>
    </xf>
    <xf numFmtId="177" fontId="4" fillId="5" borderId="21" xfId="0" applyNumberFormat="1" applyFont="1" applyFill="1" applyBorder="1" applyAlignment="1" applyProtection="1">
      <alignment horizontal="center" vertical="center"/>
      <protection hidden="1"/>
    </xf>
    <xf numFmtId="177" fontId="1" fillId="5" borderId="0" xfId="0" applyNumberFormat="1" applyFont="1" applyFill="1" applyAlignment="1" applyProtection="1">
      <alignment horizontal="center" vertical="center"/>
      <protection hidden="1"/>
    </xf>
    <xf numFmtId="1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21" xfId="0" applyNumberFormat="1" applyFont="1" applyFill="1" applyBorder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0" fontId="4" fillId="5" borderId="23" xfId="0" applyNumberFormat="1" applyFont="1" applyFill="1" applyBorder="1" applyAlignment="1" applyProtection="1">
      <alignment horizontal="center" vertical="center"/>
      <protection hidden="1"/>
    </xf>
    <xf numFmtId="2" fontId="4" fillId="5" borderId="0" xfId="0" applyNumberFormat="1" applyFont="1" applyFill="1" applyAlignment="1" applyProtection="1">
      <alignment horizontal="center" vertical="center"/>
      <protection hidden="1"/>
    </xf>
    <xf numFmtId="181" fontId="10" fillId="5" borderId="0" xfId="0" applyNumberFormat="1" applyFont="1" applyFill="1" applyAlignment="1" applyProtection="1">
      <alignment horizontal="center" vertical="center"/>
      <protection hidden="1"/>
    </xf>
    <xf numFmtId="177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0" xfId="0" applyNumberFormat="1" applyFont="1" applyFill="1" applyAlignment="1" applyProtection="1">
      <alignment horizontal="center" vertical="center"/>
      <protection hidden="1"/>
    </xf>
    <xf numFmtId="2" fontId="10" fillId="2" borderId="0" xfId="0" applyNumberFormat="1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 wrapText="1"/>
      <protection hidden="1"/>
    </xf>
    <xf numFmtId="0" fontId="6" fillId="4" borderId="28" xfId="0" applyFont="1" applyFill="1" applyBorder="1" applyAlignment="1" applyProtection="1">
      <alignment horizontal="center" vertical="center"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hidden="1"/>
    </xf>
    <xf numFmtId="0" fontId="3" fillId="4" borderId="28" xfId="0" applyFont="1" applyFill="1" applyBorder="1" applyAlignment="1" applyProtection="1">
      <alignment horizontal="center" vertical="center" wrapText="1"/>
      <protection hidden="1"/>
    </xf>
    <xf numFmtId="2" fontId="3" fillId="4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9" xfId="0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0" fontId="6" fillId="4" borderId="29" xfId="0" applyFont="1" applyFill="1" applyBorder="1" applyAlignment="1" applyProtection="1">
      <alignment horizontal="center" vertical="center" wrapText="1"/>
      <protection hidden="1"/>
    </xf>
    <xf numFmtId="0" fontId="16" fillId="4" borderId="28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2" fontId="4" fillId="5" borderId="32" xfId="0" applyNumberFormat="1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2" fillId="4" borderId="27" xfId="0" applyFont="1" applyFill="1" applyBorder="1" applyAlignment="1" applyProtection="1">
      <alignment horizontal="center" vertical="center" wrapText="1"/>
      <protection hidden="1"/>
    </xf>
    <xf numFmtId="0" fontId="2" fillId="4" borderId="35" xfId="0" applyFont="1" applyFill="1" applyBorder="1" applyAlignment="1" applyProtection="1">
      <alignment horizontal="center" vertical="center"/>
      <protection hidden="1"/>
    </xf>
    <xf numFmtId="168" fontId="2" fillId="4" borderId="35" xfId="0" applyNumberFormat="1" applyFont="1" applyFill="1" applyBorder="1" applyAlignment="1" applyProtection="1">
      <alignment horizontal="center" vertical="center"/>
      <protection hidden="1"/>
    </xf>
    <xf numFmtId="177" fontId="5" fillId="2" borderId="0" xfId="0" applyNumberFormat="1" applyFont="1" applyFill="1" applyAlignment="1" applyProtection="1">
      <alignment horizontal="center" vertical="center"/>
      <protection hidden="1"/>
    </xf>
    <xf numFmtId="177" fontId="5" fillId="2" borderId="0" xfId="0" applyNumberFormat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168" fontId="3" fillId="4" borderId="34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2" borderId="40" xfId="0" applyFont="1" applyFill="1" applyBorder="1" applyAlignment="1" applyProtection="1">
      <alignment horizontal="center" vertical="center"/>
      <protection hidden="1"/>
    </xf>
    <xf numFmtId="0" fontId="15" fillId="2" borderId="37" xfId="0" applyFont="1" applyFill="1" applyBorder="1" applyAlignment="1" applyProtection="1">
      <alignment horizontal="center" vertical="center"/>
      <protection hidden="1"/>
    </xf>
    <xf numFmtId="1" fontId="19" fillId="6" borderId="0" xfId="0" applyNumberFormat="1" applyFont="1" applyFill="1" applyAlignment="1" applyProtection="1">
      <alignment horizontal="center" vertical="center" wrapText="1"/>
      <protection hidden="1"/>
    </xf>
    <xf numFmtId="1" fontId="20" fillId="7" borderId="0" xfId="0" applyNumberFormat="1" applyFont="1" applyFill="1" applyAlignment="1" applyProtection="1">
      <alignment horizontal="center" vertical="center" wrapText="1"/>
      <protection hidden="1"/>
    </xf>
    <xf numFmtId="177" fontId="21" fillId="8" borderId="0" xfId="0" applyNumberFormat="1" applyFont="1" applyFill="1" applyAlignment="1" applyProtection="1">
      <alignment horizontal="center" vertical="center"/>
      <protection hidden="1"/>
    </xf>
    <xf numFmtId="2" fontId="1" fillId="2" borderId="45" xfId="0" applyNumberFormat="1" applyFont="1" applyFill="1" applyBorder="1" applyAlignment="1" applyProtection="1">
      <alignment horizontal="center"/>
      <protection hidden="1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4" fillId="9" borderId="44" xfId="0" applyFont="1" applyFill="1" applyBorder="1" applyAlignment="1" applyProtection="1">
      <alignment horizontal="center" vertical="center"/>
      <protection locked="0" hidden="1"/>
    </xf>
    <xf numFmtId="1" fontId="4" fillId="9" borderId="44" xfId="0" applyNumberFormat="1" applyFont="1" applyFill="1" applyBorder="1" applyAlignment="1" applyProtection="1">
      <alignment horizontal="center" vertical="center"/>
      <protection locked="0" hidden="1"/>
    </xf>
    <xf numFmtId="1" fontId="4" fillId="9" borderId="0" xfId="0" applyNumberFormat="1" applyFont="1" applyFill="1" applyAlignment="1" applyProtection="1">
      <alignment horizontal="center" vertical="center"/>
      <protection locked="0" hidden="1"/>
    </xf>
    <xf numFmtId="1" fontId="4" fillId="9" borderId="34" xfId="0" applyNumberFormat="1" applyFont="1" applyFill="1" applyBorder="1" applyAlignment="1" applyProtection="1">
      <alignment horizontal="center" vertical="center"/>
      <protection locked="0" hidden="1"/>
    </xf>
    <xf numFmtId="1" fontId="4" fillId="9" borderId="46" xfId="0" applyNumberFormat="1" applyFont="1" applyFill="1" applyBorder="1" applyAlignment="1" applyProtection="1">
      <alignment horizontal="center" vertical="center"/>
      <protection locked="0" hidden="1"/>
    </xf>
    <xf numFmtId="0" fontId="4" fillId="2" borderId="47" xfId="0" applyFont="1" applyFill="1" applyBorder="1" applyAlignment="1" applyProtection="1">
      <alignment horizontal="center" vertical="center"/>
      <protection hidden="1"/>
    </xf>
    <xf numFmtId="172" fontId="1" fillId="2" borderId="47" xfId="0" applyNumberFormat="1" applyFont="1" applyFill="1" applyBorder="1" applyAlignment="1" applyProtection="1">
      <alignment horizontal="center" vertical="center"/>
      <protection hidden="1"/>
    </xf>
    <xf numFmtId="2" fontId="4" fillId="5" borderId="48" xfId="0" applyNumberFormat="1" applyFont="1" applyFill="1" applyBorder="1" applyAlignment="1" applyProtection="1">
      <alignment horizontal="center" vertical="center"/>
      <protection hidden="1"/>
    </xf>
    <xf numFmtId="169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4" fillId="9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171" fontId="4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left" vertical="top" wrapText="1"/>
      <protection hidden="1"/>
    </xf>
    <xf numFmtId="0" fontId="4" fillId="2" borderId="39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41" xfId="0" applyFont="1" applyFill="1" applyBorder="1" applyAlignment="1" applyProtection="1">
      <alignment horizontal="left" vertical="top" wrapText="1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2" fillId="4" borderId="35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left" vertical="top" wrapText="1"/>
      <protection hidden="1"/>
    </xf>
    <xf numFmtId="0" fontId="22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 vertical="center"/>
      <protection hidden="1"/>
    </xf>
    <xf numFmtId="0" fontId="18" fillId="2" borderId="26" xfId="0" applyFont="1" applyFill="1" applyBorder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 vertical="center" wrapText="1"/>
      <protection hidden="1"/>
    </xf>
    <xf numFmtId="0" fontId="23" fillId="2" borderId="36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48">
    <dxf>
      <font>
        <color theme="0"/>
      </font>
      <fill>
        <patternFill patternType="solid">
          <fgColor auto="1"/>
          <bgColor rgb="FF8A0000"/>
        </patternFill>
      </fill>
    </dxf>
    <dxf>
      <font>
        <color theme="0"/>
      </font>
      <fill>
        <patternFill>
          <bgColor rgb="FF8A0000"/>
        </patternFill>
      </fill>
    </dxf>
    <dxf>
      <font>
        <color theme="0"/>
      </font>
      <fill>
        <patternFill patternType="solid">
          <fgColor auto="1"/>
          <bgColor rgb="FF8A0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rgb="FF8A0000"/>
      </font>
      <fill>
        <patternFill>
          <bgColor rgb="FFFF99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9" tint="-0.499984740745262"/>
      </font>
      <fill>
        <patternFill>
          <bgColor rgb="FFC0E399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3C4F0D"/>
      </font>
      <fill>
        <patternFill patternType="solid">
          <fgColor auto="1"/>
          <bgColor rgb="FFC0E399"/>
        </patternFill>
      </fill>
    </dxf>
  </dxfs>
  <tableStyles count="0" defaultTableStyle="TableStyleMedium2" defaultPivotStyle="PivotStyleLight16"/>
  <colors>
    <mruColors>
      <color rgb="FFC0E399"/>
      <color rgb="FFFF7C80"/>
      <color rgb="FF9999FF"/>
      <color rgb="FFFF9999"/>
      <color rgb="FF8A0000"/>
      <color rgb="FFCCFF66"/>
      <color rgb="FF3C4F0D"/>
      <color rgb="FFFF5050"/>
      <color rgb="FFC43E14"/>
      <color rgb="FF678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</xdr:colOff>
      <xdr:row>16</xdr:row>
      <xdr:rowOff>2276</xdr:rowOff>
    </xdr:from>
    <xdr:to>
      <xdr:col>2</xdr:col>
      <xdr:colOff>174076</xdr:colOff>
      <xdr:row>17</xdr:row>
      <xdr:rowOff>20100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390" y="2764526"/>
          <a:ext cx="165986" cy="165870"/>
        </a:xfrm>
        <a:prstGeom prst="rect">
          <a:avLst/>
        </a:prstGeom>
      </xdr:spPr>
    </xdr:pic>
    <xdr:clientData/>
  </xdr:twoCellAnchor>
  <xdr:twoCellAnchor editAs="oneCell">
    <xdr:from>
      <xdr:col>2</xdr:col>
      <xdr:colOff>5566</xdr:colOff>
      <xdr:row>17</xdr:row>
      <xdr:rowOff>8792</xdr:rowOff>
    </xdr:from>
    <xdr:to>
      <xdr:col>2</xdr:col>
      <xdr:colOff>171078</xdr:colOff>
      <xdr:row>18</xdr:row>
      <xdr:rowOff>16619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86" y="2934328"/>
          <a:ext cx="165512" cy="165397"/>
        </a:xfrm>
        <a:prstGeom prst="rect">
          <a:avLst/>
        </a:prstGeom>
      </xdr:spPr>
    </xdr:pic>
    <xdr:clientData/>
  </xdr:twoCellAnchor>
  <xdr:twoCellAnchor editAs="oneCell">
    <xdr:from>
      <xdr:col>1</xdr:col>
      <xdr:colOff>53954</xdr:colOff>
      <xdr:row>21</xdr:row>
      <xdr:rowOff>0</xdr:rowOff>
    </xdr:from>
    <xdr:to>
      <xdr:col>1</xdr:col>
      <xdr:colOff>398714</xdr:colOff>
      <xdr:row>22</xdr:row>
      <xdr:rowOff>92236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54" y="5366657"/>
          <a:ext cx="360000" cy="358936"/>
        </a:xfrm>
        <a:prstGeom prst="rect">
          <a:avLst/>
        </a:prstGeom>
      </xdr:spPr>
    </xdr:pic>
    <xdr:clientData/>
  </xdr:twoCellAnchor>
  <xdr:twoCellAnchor editAs="oneCell">
    <xdr:from>
      <xdr:col>1</xdr:col>
      <xdr:colOff>63738</xdr:colOff>
      <xdr:row>10</xdr:row>
      <xdr:rowOff>0</xdr:rowOff>
    </xdr:from>
    <xdr:to>
      <xdr:col>1</xdr:col>
      <xdr:colOff>439726</xdr:colOff>
      <xdr:row>11</xdr:row>
      <xdr:rowOff>93300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24" y="1366345"/>
          <a:ext cx="360748" cy="362299"/>
        </a:xfrm>
        <a:prstGeom prst="rect">
          <a:avLst/>
        </a:prstGeom>
      </xdr:spPr>
    </xdr:pic>
    <xdr:clientData/>
  </xdr:twoCellAnchor>
  <xdr:twoCellAnchor editAs="oneCell">
    <xdr:from>
      <xdr:col>1</xdr:col>
      <xdr:colOff>82478</xdr:colOff>
      <xdr:row>5</xdr:row>
      <xdr:rowOff>178019</xdr:rowOff>
    </xdr:from>
    <xdr:to>
      <xdr:col>1</xdr:col>
      <xdr:colOff>434858</xdr:colOff>
      <xdr:row>7</xdr:row>
      <xdr:rowOff>79757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78" y="806669"/>
          <a:ext cx="360000" cy="358937"/>
        </a:xfrm>
        <a:prstGeom prst="rect">
          <a:avLst/>
        </a:prstGeom>
      </xdr:spPr>
    </xdr:pic>
    <xdr:clientData/>
  </xdr:twoCellAnchor>
  <xdr:twoCellAnchor editAs="oneCell">
    <xdr:from>
      <xdr:col>12</xdr:col>
      <xdr:colOff>668633</xdr:colOff>
      <xdr:row>0</xdr:row>
      <xdr:rowOff>28575</xdr:rowOff>
    </xdr:from>
    <xdr:to>
      <xdr:col>13</xdr:col>
      <xdr:colOff>899050</xdr:colOff>
      <xdr:row>2</xdr:row>
      <xdr:rowOff>133305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5233" y="28575"/>
          <a:ext cx="1137197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46788</xdr:colOff>
      <xdr:row>0</xdr:row>
      <xdr:rowOff>41764</xdr:rowOff>
    </xdr:from>
    <xdr:to>
      <xdr:col>2</xdr:col>
      <xdr:colOff>1180762</xdr:colOff>
      <xdr:row>2</xdr:row>
      <xdr:rowOff>154114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88" y="41764"/>
          <a:ext cx="1133974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4645</xdr:colOff>
          <xdr:row>1</xdr:row>
          <xdr:rowOff>51825</xdr:rowOff>
        </xdr:from>
        <xdr:to>
          <xdr:col>12</xdr:col>
          <xdr:colOff>13938</xdr:colOff>
          <xdr:row>2</xdr:row>
          <xdr:rowOff>126399</xdr:rowOff>
        </xdr:to>
        <xdr:pic>
          <xdr:nvPicPr>
            <xdr:cNvPr id="12" name="Grafik 11">
              <a:extLst>
                <a:ext uri="{FF2B5EF4-FFF2-40B4-BE49-F238E27FC236}">
                  <a16:creationId xmlns:a16="http://schemas.microsoft.com/office/drawing/2014/main" id="{C2580365-4F57-1B4F-1FC9-0DEDF9729D1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" spid="_x0000_s148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9998568" y="176383"/>
              <a:ext cx="925158" cy="1991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3788-6002-4A62-ACB6-36D8355C0F0B}">
  <sheetPr codeName="Tabelle1"/>
  <dimension ref="A1:B2"/>
  <sheetViews>
    <sheetView workbookViewId="0"/>
  </sheetViews>
  <sheetFormatPr baseColWidth="10" defaultRowHeight="15" x14ac:dyDescent="0.25"/>
  <sheetData>
    <row r="1" spans="1:2" x14ac:dyDescent="0.25">
      <c r="A1" s="24">
        <f>IF(System!L1="DE",1,IF(System!L1="EN",2))</f>
        <v>1</v>
      </c>
      <c r="B1" s="18" t="e" vm="1">
        <v>#VALUE!</v>
      </c>
    </row>
    <row r="2" spans="1:2" x14ac:dyDescent="0.25">
      <c r="A2" s="24"/>
      <c r="B2" s="18" t="e" vm="2">
        <v>#VALUE!</v>
      </c>
    </row>
  </sheetData>
  <sheetProtection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ystem">
    <pageSetUpPr autoPageBreaks="0" fitToPage="1"/>
  </sheetPr>
  <dimension ref="A1:AZ272"/>
  <sheetViews>
    <sheetView tabSelected="1" topLeftCell="A7" zoomScaleNormal="100" workbookViewId="0">
      <selection activeCell="K24" sqref="K24"/>
    </sheetView>
  </sheetViews>
  <sheetFormatPr baseColWidth="10" defaultColWidth="20.7109375" defaultRowHeight="15" customHeight="1" x14ac:dyDescent="0.25"/>
  <cols>
    <col min="1" max="1" width="2.28515625" style="18" customWidth="1"/>
    <col min="2" max="2" width="6.85546875" style="18" customWidth="1"/>
    <col min="3" max="3" width="30.85546875" style="18" bestFit="1" customWidth="1"/>
    <col min="4" max="14" width="13.7109375" style="18" customWidth="1"/>
    <col min="15" max="15" width="23" style="18" customWidth="1"/>
    <col min="16" max="16" width="24.140625" style="18" hidden="1" customWidth="1"/>
    <col min="17" max="17" width="20.7109375" style="18" hidden="1" customWidth="1"/>
    <col min="18" max="18" width="19" style="18" hidden="1" customWidth="1"/>
    <col min="19" max="20" width="11.28515625" style="18" hidden="1" customWidth="1"/>
    <col min="21" max="21" width="0" style="18" hidden="1" customWidth="1"/>
    <col min="22" max="16384" width="20.7109375" style="18"/>
  </cols>
  <sheetData>
    <row r="1" spans="1:18" s="105" customFormat="1" ht="9.9499999999999993" customHeight="1" thickTop="1" thickBot="1" x14ac:dyDescent="0.3">
      <c r="A1" s="90"/>
      <c r="B1" s="90"/>
      <c r="C1" s="90"/>
      <c r="D1" s="90"/>
      <c r="E1" s="90"/>
      <c r="F1" s="199" t="str">
        <f>IF(Tabelle1!$A$1=1,"PV - Konfigurationsassistent",IF(Tabelle1!$A$1=2,"PV - configuration wizard"))</f>
        <v>PV - Konfigurationsassistent</v>
      </c>
      <c r="G1" s="199"/>
      <c r="H1" s="199"/>
      <c r="I1" s="199"/>
      <c r="J1" s="199"/>
      <c r="K1" s="91"/>
      <c r="L1" s="94" t="s">
        <v>123</v>
      </c>
      <c r="M1" s="90"/>
      <c r="N1" s="90"/>
      <c r="O1" s="90"/>
      <c r="Q1" s="24"/>
      <c r="R1" s="18"/>
    </row>
    <row r="2" spans="1:18" s="105" customFormat="1" ht="9.9499999999999993" customHeight="1" thickTop="1" x14ac:dyDescent="0.25">
      <c r="A2" s="90"/>
      <c r="B2" s="90"/>
      <c r="C2" s="90"/>
      <c r="D2" s="91"/>
      <c r="E2" s="91"/>
      <c r="F2" s="199"/>
      <c r="G2" s="199"/>
      <c r="H2" s="199"/>
      <c r="I2" s="199"/>
      <c r="J2" s="199"/>
      <c r="K2" s="91"/>
      <c r="L2" s="17"/>
      <c r="M2" s="90"/>
      <c r="N2" s="90"/>
      <c r="O2" s="90"/>
      <c r="Q2" s="24"/>
      <c r="R2" s="18"/>
    </row>
    <row r="3" spans="1:18" ht="15" customHeight="1" x14ac:dyDescent="0.25">
      <c r="A3" s="17"/>
      <c r="B3" s="17"/>
      <c r="C3" s="17"/>
      <c r="D3" s="91"/>
      <c r="E3" s="91"/>
      <c r="F3" s="199"/>
      <c r="G3" s="199"/>
      <c r="H3" s="199"/>
      <c r="I3" s="199"/>
      <c r="J3" s="199"/>
      <c r="K3" s="91"/>
      <c r="L3" s="17"/>
      <c r="M3" s="19"/>
      <c r="N3" s="19"/>
      <c r="O3" s="19"/>
      <c r="P3" s="106"/>
    </row>
    <row r="4" spans="1:18" ht="12.95" customHeight="1" x14ac:dyDescent="0.25">
      <c r="A4" s="17"/>
      <c r="B4" s="17"/>
      <c r="C4" s="17"/>
      <c r="D4" s="91"/>
      <c r="E4" s="91"/>
      <c r="F4" s="203" t="str">
        <f>IF(Tabelle1!$A$1=1,"*Alle Angaben und Werte sind ohne Gewähr",IF(Tabelle1!$A$1=2,"*All information and values are without guarantee"))</f>
        <v>*Alle Angaben und Werte sind ohne Gewähr</v>
      </c>
      <c r="G4" s="203"/>
      <c r="H4" s="203"/>
      <c r="I4" s="203"/>
      <c r="J4" s="203"/>
      <c r="K4" s="91"/>
      <c r="L4" s="17"/>
      <c r="M4" s="19"/>
      <c r="N4" s="19"/>
      <c r="O4" s="19"/>
      <c r="P4" s="106"/>
    </row>
    <row r="5" spans="1:18" ht="15" customHeight="1" x14ac:dyDescent="0.25">
      <c r="A5" s="17"/>
      <c r="B5" s="17"/>
      <c r="C5" s="200" t="str">
        <f>IF(Tabelle1!$A$1=1,"1. Dateneingabe",IF(Tabelle1!$A$1=2,"1. Insert data"))</f>
        <v>1. Dateneingabe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19"/>
      <c r="P5" s="106"/>
    </row>
    <row r="6" spans="1:18" ht="6.95" customHeight="1" x14ac:dyDescent="0.25">
      <c r="A6" s="17"/>
      <c r="B6" s="17"/>
      <c r="C6" s="17"/>
      <c r="D6" s="91"/>
      <c r="E6" s="91"/>
      <c r="F6" s="90"/>
      <c r="G6" s="90"/>
      <c r="H6" s="90"/>
      <c r="I6" s="90"/>
      <c r="J6" s="90"/>
      <c r="K6" s="91"/>
      <c r="L6" s="17"/>
      <c r="M6" s="19"/>
      <c r="N6" s="19"/>
      <c r="O6" s="19"/>
      <c r="P6" s="106"/>
    </row>
    <row r="7" spans="1:18" ht="21.95" customHeight="1" thickBot="1" x14ac:dyDescent="0.3">
      <c r="A7" s="17"/>
      <c r="B7" s="17"/>
      <c r="C7" s="141" t="str">
        <f>'PV modules'!B2</f>
        <v>PV-MODULE NAME</v>
      </c>
      <c r="D7" s="141" t="str">
        <f>'PV modules'!C2</f>
        <v>@ TEMP</v>
      </c>
      <c r="E7" s="142" t="str">
        <f>'PV modules'!D2</f>
        <v>Pmpp</v>
      </c>
      <c r="F7" s="142" t="str">
        <f>'PV modules'!E2</f>
        <v>Uoc</v>
      </c>
      <c r="G7" s="143" t="str">
        <f>'PV modules'!F2</f>
        <v>Umpp</v>
      </c>
      <c r="H7" s="142" t="str">
        <f>'PV modules'!G2</f>
        <v>Isc</v>
      </c>
      <c r="I7" s="142" t="str">
        <f>'PV modules'!H2</f>
        <v>Impp</v>
      </c>
      <c r="J7" s="144" t="str">
        <f>'PV modules'!J2</f>
        <v>TEMP KOEFFIZIENT Uoc</v>
      </c>
      <c r="K7" s="145" t="str">
        <f>'PV modules'!L2</f>
        <v>TEMP KOEFFIZIENT Isc</v>
      </c>
      <c r="L7" s="146" t="str">
        <f>'PV modules'!N2</f>
        <v>TEMP KOEFFIZIENT Pmpp</v>
      </c>
      <c r="M7" s="25" t="str">
        <f>'PV modules'!I2</f>
        <v>EFFIZIENZ</v>
      </c>
      <c r="N7" s="25" t="str">
        <f>'PV modules'!R2</f>
        <v>FLÄCHE</v>
      </c>
      <c r="O7" s="19"/>
      <c r="P7" s="106"/>
    </row>
    <row r="8" spans="1:18" ht="12.95" customHeight="1" thickBot="1" x14ac:dyDescent="0.3">
      <c r="A8" s="17"/>
      <c r="B8" s="17"/>
      <c r="C8" s="149"/>
      <c r="D8" s="147" t="str">
        <f>'PV modules'!C3</f>
        <v>°C</v>
      </c>
      <c r="E8" s="147" t="str">
        <f>'PV modules'!D3</f>
        <v>Wp</v>
      </c>
      <c r="F8" s="147" t="str">
        <f>'PV modules'!E3</f>
        <v>Vdc</v>
      </c>
      <c r="G8" s="147" t="str">
        <f>'PV modules'!F3</f>
        <v>Vdc</v>
      </c>
      <c r="H8" s="147" t="str">
        <f>'PV modules'!G3</f>
        <v>A</v>
      </c>
      <c r="I8" s="147" t="str">
        <f>'PV modules'!H3</f>
        <v>A</v>
      </c>
      <c r="J8" s="147" t="str">
        <f>IF(VLOOKUP($C$9,'PV modules'!B4:R100,9,FALSE)&lt;&gt;"",'PV modules'!J3,'PV modules'!K3)</f>
        <v>%/K</v>
      </c>
      <c r="K8" s="147" t="str">
        <f>IF(VLOOKUP($C$9,'PV modules'!B4:R100,11,FALSE)&lt;&gt;"",'PV modules'!L3,'PV modules'!M3)</f>
        <v>%/K</v>
      </c>
      <c r="L8" s="147" t="str">
        <f>IF(VLOOKUP($C$9,'PV modules'!B4:R100,13,FALSE)&lt;&gt;"",'PV modules'!N3,'PV modules'!O3)</f>
        <v>%/K</v>
      </c>
      <c r="M8" s="148" t="str">
        <f>'PV modules'!I3</f>
        <v>%</v>
      </c>
      <c r="N8" s="147" t="str">
        <f>'PV modules'!R3</f>
        <v>m²</v>
      </c>
      <c r="O8" s="19"/>
      <c r="P8" s="106"/>
    </row>
    <row r="9" spans="1:18" ht="12.95" customHeight="1" x14ac:dyDescent="0.25">
      <c r="A9" s="17"/>
      <c r="B9" s="17"/>
      <c r="C9" s="171" t="s">
        <v>129</v>
      </c>
      <c r="D9" s="131">
        <f>VLOOKUP($C$9,'PV modules'!B4:R100,2,FALSE)</f>
        <v>25</v>
      </c>
      <c r="E9" s="132">
        <f>VLOOKUP($C$9,'PV modules'!B4:R100,3,FALSE)</f>
        <v>530</v>
      </c>
      <c r="F9" s="133">
        <f>VLOOKUP($C$9,'PV modules'!B4:R100,4,FALSE)</f>
        <v>46.7</v>
      </c>
      <c r="G9" s="132">
        <f>VLOOKUP($C$9,'PV modules'!B4:R100,5,FALSE)</f>
        <v>38.799999999999997</v>
      </c>
      <c r="H9" s="133">
        <f>VLOOKUP($C$9,'PV modules'!B4:R100,6,FALSE)</f>
        <v>14.4</v>
      </c>
      <c r="I9" s="133">
        <f>VLOOKUP($C$9,'PV modules'!B4:R100,7,FALSE)</f>
        <v>13.8</v>
      </c>
      <c r="J9" s="133">
        <f>IF(VLOOKUP($C$9,'PV modules'!B4:R100,9,FALSE)&lt;&gt;"",VLOOKUP($C$9,'PV modules'!B4:R100,9,FALSE),VLOOKUP($C$9,'PV modules'!B4:R100,10,FALSE))</f>
        <v>-0.25</v>
      </c>
      <c r="K9" s="133">
        <f>IF(VLOOKUP($C$9,'PV modules'!B4:R100,11,FALSE)&lt;&gt;"",VLOOKUP($C$9,'PV modules'!B4:R100,11,FALSE),VLOOKUP($C$9,'PV modules'!B4:R100,12,FALSE))</f>
        <v>4.4999999999999998E-2</v>
      </c>
      <c r="L9" s="133">
        <f>IF(VLOOKUP($C$9,'PV modules'!B4:R100,13,FALSE)&lt;&gt;"",VLOOKUP($C$9,'PV modules'!B4:R100,13,FALSE),VLOOKUP($C$9,'PV modules'!B4:R100,14,FALSE))</f>
        <v>-0.3</v>
      </c>
      <c r="M9" s="134">
        <f>VLOOKUP($C$9,'PV modules'!B4:R100,8,FALSE)</f>
        <v>0.223</v>
      </c>
      <c r="N9" s="135">
        <f>VLOOKUP($C$9,'PV modules'!B4:R100,17,FALSE)</f>
        <v>2.354136</v>
      </c>
      <c r="O9" s="19"/>
      <c r="P9" s="106"/>
    </row>
    <row r="10" spans="1:18" ht="9.9499999999999993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9"/>
      <c r="L10" s="19"/>
      <c r="M10" s="19"/>
      <c r="N10" s="19"/>
      <c r="O10" s="19"/>
      <c r="P10" s="106"/>
    </row>
    <row r="11" spans="1:18" ht="21.95" customHeight="1" thickBot="1" x14ac:dyDescent="0.3">
      <c r="A11" s="17"/>
      <c r="B11" s="17"/>
      <c r="C11" s="141" t="str">
        <f>Inverter!B2</f>
        <v>PRODUKT</v>
      </c>
      <c r="D11" s="141" t="str">
        <f>Inverter!C2</f>
        <v>TYP</v>
      </c>
      <c r="E11" s="144" t="str">
        <f>Inverter!E2</f>
        <v>ANZAHL MPPT's</v>
      </c>
      <c r="F11" s="142" t="str">
        <f>Inverter!F2</f>
        <v>PV LEISTUNG</v>
      </c>
      <c r="G11" s="150" t="str">
        <f>Inverter!G2</f>
        <v>PV LEISTUNG /MPPT</v>
      </c>
      <c r="H11" s="142" t="str">
        <f>Inverter!H2</f>
        <v>Umppt    MIN</v>
      </c>
      <c r="I11" s="142" t="str">
        <f>Inverter!I2</f>
        <v>Umppt    MAX</v>
      </c>
      <c r="J11" s="142" t="str">
        <f>Inverter!J2</f>
        <v>Uoc    MIN</v>
      </c>
      <c r="K11" s="143" t="str">
        <f>Inverter!K2</f>
        <v>Uoc    MAX</v>
      </c>
      <c r="L11" s="142" t="str">
        <f>Inverter!L2</f>
        <v>Impp &lt; 300Vdc</v>
      </c>
      <c r="M11" s="142" t="str">
        <f>Inverter!M2</f>
        <v>Impp &gt; 300Vdc</v>
      </c>
      <c r="N11" s="142" t="str">
        <f>Inverter!N2</f>
        <v>Isc</v>
      </c>
      <c r="O11" s="19"/>
      <c r="P11" s="106"/>
    </row>
    <row r="12" spans="1:18" ht="12.95" customHeight="1" thickBot="1" x14ac:dyDescent="0.3">
      <c r="A12" s="17"/>
      <c r="B12" s="17"/>
      <c r="C12" s="148"/>
      <c r="D12" s="148"/>
      <c r="E12" s="148"/>
      <c r="F12" s="148" t="str">
        <f>Inverter!F3</f>
        <v>kWp</v>
      </c>
      <c r="G12" s="148" t="str">
        <f>Inverter!G3</f>
        <v>kW</v>
      </c>
      <c r="H12" s="148" t="str">
        <f>Inverter!H3</f>
        <v>Vdc</v>
      </c>
      <c r="I12" s="148" t="str">
        <f>Inverter!I3</f>
        <v>Vdc</v>
      </c>
      <c r="J12" s="148" t="str">
        <f>Inverter!J3</f>
        <v>Vdc</v>
      </c>
      <c r="K12" s="148" t="str">
        <f>Inverter!K3</f>
        <v>Vdc</v>
      </c>
      <c r="L12" s="148" t="str">
        <f>Inverter!L3</f>
        <v>A</v>
      </c>
      <c r="M12" s="148" t="str">
        <f>Inverter!M3</f>
        <v>A</v>
      </c>
      <c r="N12" s="148" t="str">
        <f>Inverter!N3</f>
        <v>A</v>
      </c>
      <c r="O12" s="19"/>
      <c r="P12" s="106"/>
    </row>
    <row r="13" spans="1:18" ht="12.95" customHeight="1" x14ac:dyDescent="0.25">
      <c r="A13" s="17"/>
      <c r="B13" s="17"/>
      <c r="C13" s="171" t="s">
        <v>91</v>
      </c>
      <c r="D13" s="127" t="str">
        <f>VLOOKUP(C13,Inverter!B4:N8,2,FALSE)</f>
        <v>hybrid</v>
      </c>
      <c r="E13" s="127">
        <f>VLOOKUP(C13,Inverter!B4:N8,4,FALSE)</f>
        <v>2</v>
      </c>
      <c r="F13" s="128">
        <f>VLOOKUP(C13,Inverter!B4:N8,5,FALSE)</f>
        <v>30</v>
      </c>
      <c r="G13" s="129">
        <f>VLOOKUP(C13,Inverter!B4:N8,6,FALSE)</f>
        <v>20</v>
      </c>
      <c r="H13" s="128">
        <f>VLOOKUP(C13,Inverter!B4:N8,7,FALSE)</f>
        <v>135</v>
      </c>
      <c r="I13" s="128">
        <f>VLOOKUP(C13,Inverter!B4:N8,8,FALSE)</f>
        <v>850</v>
      </c>
      <c r="J13" s="128">
        <f>VLOOKUP(C13,Inverter!B4:N8,9,FALSE)</f>
        <v>165</v>
      </c>
      <c r="K13" s="129">
        <f>VLOOKUP(C13,Inverter!B4:N8,10,FALSE)</f>
        <v>1000</v>
      </c>
      <c r="L13" s="130">
        <f>VLOOKUP(C13,Inverter!B4:N8,11,FALSE)</f>
        <v>30</v>
      </c>
      <c r="M13" s="130">
        <f>VLOOKUP(C13,Inverter!B4:N8,12,FALSE)</f>
        <v>30</v>
      </c>
      <c r="N13" s="130">
        <f>VLOOKUP(C13,Inverter!B4:N8,13,FALSE)</f>
        <v>40</v>
      </c>
      <c r="O13" s="19"/>
      <c r="P13" s="106"/>
    </row>
    <row r="14" spans="1:18" ht="9.9499999999999993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9"/>
      <c r="L14" s="19"/>
      <c r="M14" s="19"/>
      <c r="N14" s="19"/>
      <c r="O14" s="19"/>
      <c r="P14" s="106"/>
    </row>
    <row r="15" spans="1:18" ht="21.95" customHeight="1" thickBot="1" x14ac:dyDescent="0.3">
      <c r="A15" s="17"/>
      <c r="B15" s="17"/>
      <c r="C15" s="151" t="str">
        <f>IF(Tabelle1!$A$1=1,"Temperatureinfluss @",IF(Tabelle1!$A$1=2,"Temperature impact @"))</f>
        <v>Temperatureinfluss @</v>
      </c>
      <c r="D15" s="152" t="s">
        <v>52</v>
      </c>
      <c r="E15" s="151" t="s">
        <v>51</v>
      </c>
      <c r="F15" s="152" t="s">
        <v>21</v>
      </c>
      <c r="G15" s="151" t="s">
        <v>19</v>
      </c>
      <c r="H15" s="151" t="s">
        <v>44</v>
      </c>
      <c r="I15" s="63"/>
      <c r="J15" s="151" t="s">
        <v>57</v>
      </c>
      <c r="K15" s="154" t="s">
        <v>34</v>
      </c>
      <c r="L15" s="154" t="s">
        <v>47</v>
      </c>
      <c r="M15" s="19"/>
      <c r="N15" s="19"/>
      <c r="O15" s="19"/>
      <c r="P15" s="106"/>
    </row>
    <row r="16" spans="1:18" ht="12.95" customHeight="1" thickBot="1" x14ac:dyDescent="0.3">
      <c r="A16" s="17"/>
      <c r="B16" s="17"/>
      <c r="C16" s="149" t="str">
        <f>'PV modules'!C3</f>
        <v>°C</v>
      </c>
      <c r="D16" s="149" t="str">
        <f>'PV modules'!E3</f>
        <v>Vdc</v>
      </c>
      <c r="E16" s="149" t="str">
        <f>'PV modules'!F3</f>
        <v>Vdc</v>
      </c>
      <c r="F16" s="149" t="str">
        <f>'PV modules'!G3</f>
        <v>A</v>
      </c>
      <c r="G16" s="147" t="str">
        <f>'PV modules'!H3</f>
        <v>A</v>
      </c>
      <c r="H16" s="147" t="str">
        <f>'PV modules'!D3</f>
        <v>Wp</v>
      </c>
      <c r="I16" s="63"/>
      <c r="J16" s="149" t="s">
        <v>24</v>
      </c>
      <c r="K16" s="147" t="s">
        <v>25</v>
      </c>
      <c r="L16" s="147" t="s">
        <v>48</v>
      </c>
      <c r="M16" s="19"/>
      <c r="N16" s="19"/>
      <c r="O16" s="19"/>
      <c r="P16" s="106"/>
    </row>
    <row r="17" spans="1:52" ht="12.95" customHeight="1" thickBot="1" x14ac:dyDescent="0.3">
      <c r="A17" s="17"/>
      <c r="B17" s="17"/>
      <c r="C17" s="175">
        <v>70</v>
      </c>
      <c r="D17" s="153">
        <f>F$9+(($C17-$D$9)*$J$17)</f>
        <v>41.446250000000006</v>
      </c>
      <c r="E17" s="153">
        <f>G$9+(($C17-$D$9)*$J$17)</f>
        <v>33.546250000000001</v>
      </c>
      <c r="F17" s="153">
        <f>H$9+(($C17-$D$9)*$K$17)</f>
        <v>14.691600000000001</v>
      </c>
      <c r="G17" s="153">
        <f>I$9+(($C17-$D$9)*$K$17)</f>
        <v>14.091600000000001</v>
      </c>
      <c r="H17" s="153">
        <f>E$9+(($C17-$D$9)*$L$17)</f>
        <v>458.45</v>
      </c>
      <c r="I17" s="21"/>
      <c r="J17" s="136">
        <f>IF(VLOOKUP($C$9,'PV modules'!B4:R100,9,FALSE)&lt;&gt;"",F9*J9/100,J9/1000)</f>
        <v>-0.11675000000000001</v>
      </c>
      <c r="K17" s="136">
        <f>IF(VLOOKUP($C$9,'PV modules'!B4:R100,11,FALSE)&lt;&gt;"",K9*H9/100,K9/1000)</f>
        <v>6.4800000000000005E-3</v>
      </c>
      <c r="L17" s="136">
        <f>IF(VLOOKUP($C$9,'PV modules'!B4:R100,13,FALSE)&lt;&gt;"",L9*E9/100,L9/1000)</f>
        <v>-1.59</v>
      </c>
      <c r="M17" s="19"/>
      <c r="N17" s="19"/>
      <c r="O17" s="17"/>
      <c r="P17" s="106"/>
    </row>
    <row r="18" spans="1:52" ht="12.95" customHeight="1" thickTop="1" thickBot="1" x14ac:dyDescent="0.3">
      <c r="A18" s="17"/>
      <c r="B18" s="17"/>
      <c r="C18" s="173">
        <v>-20</v>
      </c>
      <c r="D18" s="135">
        <f>F$9+(($C18-$D$9)*$J$17)</f>
        <v>51.953749999999999</v>
      </c>
      <c r="E18" s="178">
        <f>G$9+(($C18-$D$9)*$J$17)</f>
        <v>44.053749999999994</v>
      </c>
      <c r="F18" s="178">
        <f>H$9+(($C18-$D$9)*$K$17)</f>
        <v>14.1084</v>
      </c>
      <c r="G18" s="178">
        <f>I$9+(($C18-$D$9)*$K$17)</f>
        <v>13.5084</v>
      </c>
      <c r="H18" s="135">
        <f>E$9+(($C18-$D$9)*$L$17)</f>
        <v>601.54999999999995</v>
      </c>
      <c r="I18" s="21"/>
      <c r="J18" s="17"/>
      <c r="K18" s="61"/>
      <c r="L18" s="19"/>
      <c r="M18" s="19"/>
      <c r="N18" s="19"/>
      <c r="O18" s="17"/>
      <c r="P18" s="106"/>
    </row>
    <row r="19" spans="1:52" ht="21.95" customHeight="1" thickTop="1" x14ac:dyDescent="0.25">
      <c r="A19" s="17"/>
      <c r="B19" s="17"/>
      <c r="C19" s="176"/>
      <c r="D19" s="177"/>
      <c r="E19" s="22"/>
      <c r="F19" s="21"/>
      <c r="G19" s="56"/>
      <c r="H19" s="179"/>
      <c r="I19" s="21"/>
      <c r="J19" s="17"/>
      <c r="K19" s="19"/>
      <c r="L19" s="19"/>
      <c r="M19" s="19"/>
      <c r="N19" s="19"/>
      <c r="O19" s="19"/>
      <c r="P19" s="106"/>
    </row>
    <row r="20" spans="1:52" ht="15" customHeight="1" x14ac:dyDescent="0.25">
      <c r="A20" s="17"/>
      <c r="B20" s="17"/>
      <c r="C20" s="200" t="str">
        <f>IF(Tabelle1!$A$1=1,"2. Zulässige Modulkonfigurationen",IF(Tabelle1!$A$1=2,"2. Allowed module configurations"))</f>
        <v>2. Zulässige Modulkonfigurationen</v>
      </c>
      <c r="D20" s="200"/>
      <c r="E20" s="200"/>
      <c r="F20" s="200"/>
      <c r="G20" s="200"/>
      <c r="H20" s="160"/>
      <c r="I20" s="160"/>
      <c r="J20" s="201" t="str">
        <f>IF(Tabelle1!$A$1=1,"3. Geplante Modulkonfiguration",IF(Tabelle1!$A$1=2,"3. Planned module configuration"))</f>
        <v>3. Geplante Modulkonfiguration</v>
      </c>
      <c r="K20" s="201"/>
      <c r="L20" s="201"/>
      <c r="M20" s="201"/>
      <c r="N20" s="201"/>
      <c r="O20" s="19"/>
      <c r="P20" s="106"/>
    </row>
    <row r="21" spans="1:52" ht="6.95" customHeight="1" x14ac:dyDescent="0.25">
      <c r="A21" s="17"/>
      <c r="B21" s="17"/>
      <c r="C21" s="17"/>
      <c r="D21" s="22"/>
      <c r="E21" s="22"/>
      <c r="F21" s="21"/>
      <c r="G21" s="56"/>
      <c r="H21" s="56"/>
      <c r="I21" s="21"/>
      <c r="J21" s="17"/>
      <c r="K21" s="17"/>
      <c r="L21" s="17"/>
      <c r="M21" s="17"/>
      <c r="N21" s="17"/>
      <c r="O21" s="19"/>
      <c r="P21" s="106"/>
    </row>
    <row r="22" spans="1:52" ht="21.95" customHeight="1" thickBot="1" x14ac:dyDescent="0.3">
      <c r="A22" s="17"/>
      <c r="B22" s="17"/>
      <c r="C22" s="144" t="str">
        <f>IF(Tabelle1!$A$1=1,"ANZAHL PV-MODULE PRO STRING",IF(Tabelle1!$A$1=2,"NUMBER OF
PV PANELS PER STRING"))</f>
        <v>ANZAHL PV-MODULE PRO STRING</v>
      </c>
      <c r="D22" s="142" t="s">
        <v>60</v>
      </c>
      <c r="E22" s="142" t="s">
        <v>59</v>
      </c>
      <c r="F22" s="142" t="s">
        <v>75</v>
      </c>
      <c r="G22" s="142" t="s">
        <v>74</v>
      </c>
      <c r="H22" s="62"/>
      <c r="I22" s="17"/>
      <c r="J22" s="162" t="str">
        <f>IF(Tabelle1!$A$1=1,"String Konfiguration",IF(Tabelle1!$A$1=2,"String configuration"))</f>
        <v>String Konfiguration</v>
      </c>
      <c r="K22" s="161" t="s">
        <v>79</v>
      </c>
      <c r="L22" s="140" t="s">
        <v>80</v>
      </c>
      <c r="M22" s="140" t="str">
        <f>F11</f>
        <v>PV LEISTUNG</v>
      </c>
      <c r="N22" s="140" t="str">
        <f>N7</f>
        <v>FLÄCHE</v>
      </c>
      <c r="O22" s="17"/>
      <c r="P22" s="106"/>
    </row>
    <row r="23" spans="1:52" ht="12.95" customHeight="1" thickBot="1" x14ac:dyDescent="0.3">
      <c r="A23" s="17"/>
      <c r="B23" s="17"/>
      <c r="C23" s="142" t="str">
        <f>IF(Tabelle1!$A$1=1,"Anzahl",IF(Tabelle1!$A$1=2,"Number"))</f>
        <v>Anzahl</v>
      </c>
      <c r="D23" s="142" t="s">
        <v>24</v>
      </c>
      <c r="E23" s="142" t="s">
        <v>24</v>
      </c>
      <c r="F23" s="142" t="s">
        <v>24</v>
      </c>
      <c r="G23" s="142" t="s">
        <v>24</v>
      </c>
      <c r="H23" s="62"/>
      <c r="I23" s="17"/>
      <c r="J23" s="149"/>
      <c r="K23" s="149" t="str">
        <f>IF(Tabelle1!$A$1=1,"Anzahl",IF(Tabelle1!$A$1=2,"Number"))</f>
        <v>Anzahl</v>
      </c>
      <c r="L23" s="149" t="str">
        <f>IF(Tabelle1!$A$1=1,"Anzahl",IF(Tabelle1!$A$1=2,"Number"))</f>
        <v>Anzahl</v>
      </c>
      <c r="M23" s="149" t="s">
        <v>22</v>
      </c>
      <c r="N23" s="149" t="s">
        <v>26</v>
      </c>
      <c r="O23" s="17"/>
      <c r="P23" s="106"/>
    </row>
    <row r="24" spans="1:52" ht="12.95" customHeight="1" x14ac:dyDescent="0.25">
      <c r="A24" s="17"/>
      <c r="B24" s="17"/>
      <c r="C24" s="11">
        <v>3</v>
      </c>
      <c r="D24" s="137">
        <f t="shared" ref="D24:D25" si="0">C24*$D$18</f>
        <v>155.86124999999998</v>
      </c>
      <c r="E24" s="137">
        <f t="shared" ref="E24:E25" si="1">C24*$D$17</f>
        <v>124.33875000000002</v>
      </c>
      <c r="F24" s="137">
        <f t="shared" ref="F24:F50" si="2">$C24*$E$18</f>
        <v>132.16125</v>
      </c>
      <c r="G24" s="137">
        <f t="shared" ref="G24:G50" si="3">$C24*$E$17</f>
        <v>100.63875</v>
      </c>
      <c r="H24" s="64"/>
      <c r="I24" s="17"/>
      <c r="J24" s="157" t="s">
        <v>62</v>
      </c>
      <c r="K24" s="173">
        <v>18</v>
      </c>
      <c r="L24" s="172">
        <v>1</v>
      </c>
      <c r="M24" s="135">
        <f>K24*L24*$E$9/1000</f>
        <v>9.5399999999999991</v>
      </c>
      <c r="N24" s="135">
        <f>K24*L24*$N$9</f>
        <v>42.374448000000001</v>
      </c>
      <c r="O24" s="17"/>
      <c r="P24" s="106"/>
    </row>
    <row r="25" spans="1:52" ht="12.95" customHeight="1" x14ac:dyDescent="0.25">
      <c r="A25" s="17"/>
      <c r="B25" s="17"/>
      <c r="C25" s="11">
        <v>4</v>
      </c>
      <c r="D25" s="137">
        <f t="shared" si="0"/>
        <v>207.815</v>
      </c>
      <c r="E25" s="137">
        <f t="shared" si="1"/>
        <v>165.78500000000003</v>
      </c>
      <c r="F25" s="137">
        <f t="shared" si="2"/>
        <v>176.21499999999997</v>
      </c>
      <c r="G25" s="137">
        <f t="shared" si="3"/>
        <v>134.185</v>
      </c>
      <c r="H25" s="64"/>
      <c r="I25" s="17"/>
      <c r="J25" s="185" t="s">
        <v>71</v>
      </c>
      <c r="K25" s="194" t="str">
        <f>IF(R91=1,"okay",IF(Tabelle1!$A$1=1,R134,IF(Tabelle1!$A$1=2,R135)))</f>
        <v>okay</v>
      </c>
      <c r="L25" s="195" t="str">
        <f>IF(R93=1,"okay",IF(Tabelle1!$A$1=1,R136,IF(Tabelle1!$A$1=2,R137)))</f>
        <v>okay</v>
      </c>
      <c r="M25" s="202" t="str">
        <f>IF(R94=1,"okay",IF(Tabelle1!$A$1=1,R138,IF(Tabelle1!$A$1=2,R139)))</f>
        <v>okay</v>
      </c>
      <c r="N25" s="64"/>
      <c r="O25" s="17"/>
      <c r="P25" s="106"/>
    </row>
    <row r="26" spans="1:52" ht="12.95" customHeight="1" x14ac:dyDescent="0.25">
      <c r="A26" s="17"/>
      <c r="B26" s="17"/>
      <c r="C26" s="11">
        <v>5</v>
      </c>
      <c r="D26" s="137">
        <f t="shared" ref="D26:D50" si="4">C26*$D$18</f>
        <v>259.76875000000001</v>
      </c>
      <c r="E26" s="137">
        <f t="shared" ref="E26:E50" si="5">C26*$D$17</f>
        <v>207.23125000000005</v>
      </c>
      <c r="F26" s="137">
        <f t="shared" si="2"/>
        <v>220.26874999999995</v>
      </c>
      <c r="G26" s="137">
        <f t="shared" si="3"/>
        <v>167.73124999999999</v>
      </c>
      <c r="H26" s="64"/>
      <c r="I26" s="17"/>
      <c r="J26" s="185"/>
      <c r="K26" s="194"/>
      <c r="L26" s="195"/>
      <c r="M26" s="202"/>
      <c r="N26" s="64"/>
      <c r="O26" s="17"/>
      <c r="P26" s="108"/>
      <c r="AV26" s="101"/>
      <c r="AW26" s="101"/>
      <c r="AX26" s="101"/>
      <c r="AY26" s="101"/>
      <c r="AZ26" s="101"/>
    </row>
    <row r="27" spans="1:52" s="24" customFormat="1" ht="12.95" customHeight="1" x14ac:dyDescent="0.25">
      <c r="A27" s="11"/>
      <c r="B27" s="11"/>
      <c r="C27" s="11">
        <v>6</v>
      </c>
      <c r="D27" s="137">
        <f t="shared" si="4"/>
        <v>311.72249999999997</v>
      </c>
      <c r="E27" s="137">
        <f t="shared" si="5"/>
        <v>248.67750000000004</v>
      </c>
      <c r="F27" s="137">
        <f t="shared" si="2"/>
        <v>264.32249999999999</v>
      </c>
      <c r="G27" s="137">
        <f t="shared" si="3"/>
        <v>201.2775</v>
      </c>
      <c r="H27" s="64"/>
      <c r="I27" s="11"/>
      <c r="J27" s="156"/>
      <c r="K27" s="66"/>
      <c r="L27" s="66"/>
      <c r="M27" s="64"/>
      <c r="N27" s="64"/>
      <c r="O27" s="11"/>
      <c r="P27" s="107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V27" s="116"/>
      <c r="AW27" s="116"/>
      <c r="AX27" s="116"/>
      <c r="AY27" s="116"/>
      <c r="AZ27" s="116"/>
    </row>
    <row r="28" spans="1:52" ht="12.95" customHeight="1" x14ac:dyDescent="0.25">
      <c r="A28" s="17"/>
      <c r="B28" s="17"/>
      <c r="C28" s="11">
        <v>7</v>
      </c>
      <c r="D28" s="137">
        <f t="shared" si="4"/>
        <v>363.67624999999998</v>
      </c>
      <c r="E28" s="137">
        <f>C28*$D$17</f>
        <v>290.12375000000003</v>
      </c>
      <c r="F28" s="137">
        <f t="shared" si="2"/>
        <v>308.37624999999997</v>
      </c>
      <c r="G28" s="137">
        <f t="shared" si="3"/>
        <v>234.82375000000002</v>
      </c>
      <c r="H28" s="64"/>
      <c r="I28" s="17"/>
      <c r="J28" s="157" t="s">
        <v>63</v>
      </c>
      <c r="K28" s="174">
        <v>18</v>
      </c>
      <c r="L28" s="173">
        <v>1</v>
      </c>
      <c r="M28" s="135">
        <f>K28*L28*$E$9/1000</f>
        <v>9.5399999999999991</v>
      </c>
      <c r="N28" s="135">
        <f>K28*L28*$N$9</f>
        <v>42.374448000000001</v>
      </c>
      <c r="O28" s="17"/>
      <c r="P28" s="10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V28" s="101"/>
      <c r="AW28" s="101"/>
      <c r="AX28" s="101"/>
      <c r="AY28" s="101"/>
      <c r="AZ28" s="101"/>
    </row>
    <row r="29" spans="1:52" ht="12.95" customHeight="1" x14ac:dyDescent="0.25">
      <c r="A29" s="17"/>
      <c r="B29" s="17"/>
      <c r="C29" s="11">
        <v>8</v>
      </c>
      <c r="D29" s="137">
        <f t="shared" si="4"/>
        <v>415.63</v>
      </c>
      <c r="E29" s="137">
        <f t="shared" si="5"/>
        <v>331.57000000000005</v>
      </c>
      <c r="F29" s="137">
        <f t="shared" si="2"/>
        <v>352.42999999999995</v>
      </c>
      <c r="G29" s="137">
        <f t="shared" si="3"/>
        <v>268.37</v>
      </c>
      <c r="H29" s="64"/>
      <c r="I29" s="17"/>
      <c r="J29" s="185" t="s">
        <v>71</v>
      </c>
      <c r="K29" s="194" t="str">
        <f>IF(R99=1,"okay",IF(Tabelle1!$A$1=1,R134,IF(Tabelle1!$A$1=2,R135)))</f>
        <v>okay</v>
      </c>
      <c r="L29" s="195" t="str">
        <f>IF(R101=1,"okay",IF(Tabelle1!$A$1=1,R136,IF(Tabelle1!$A$1=2,R137)))</f>
        <v>okay</v>
      </c>
      <c r="M29" s="195" t="str">
        <f>IF(R102=1,"okay",IF(Tabelle1!$A$1=1,R138,IF(Tabelle1!$A$1=2,R139)))</f>
        <v>okay</v>
      </c>
      <c r="N29" s="17"/>
      <c r="O29" s="17"/>
      <c r="P29" s="10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V29" s="101"/>
      <c r="AW29" s="101"/>
      <c r="AX29" s="101"/>
      <c r="AY29" s="101"/>
      <c r="AZ29" s="101"/>
    </row>
    <row r="30" spans="1:52" ht="12.95" customHeight="1" x14ac:dyDescent="0.25">
      <c r="A30" s="17"/>
      <c r="B30" s="17"/>
      <c r="C30" s="11">
        <v>9</v>
      </c>
      <c r="D30" s="137">
        <f t="shared" si="4"/>
        <v>467.58375000000001</v>
      </c>
      <c r="E30" s="137">
        <f t="shared" si="5"/>
        <v>373.01625000000007</v>
      </c>
      <c r="F30" s="137">
        <f t="shared" si="2"/>
        <v>396.48374999999993</v>
      </c>
      <c r="G30" s="137">
        <f t="shared" si="3"/>
        <v>301.91624999999999</v>
      </c>
      <c r="H30" s="64"/>
      <c r="I30" s="17"/>
      <c r="J30" s="185"/>
      <c r="K30" s="194"/>
      <c r="L30" s="195"/>
      <c r="M30" s="195"/>
      <c r="N30" s="17"/>
      <c r="O30" s="17"/>
      <c r="P30" s="109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V30" s="101"/>
      <c r="AW30" s="101"/>
      <c r="AX30" s="101"/>
      <c r="AY30" s="101"/>
      <c r="AZ30" s="101"/>
    </row>
    <row r="31" spans="1:52" ht="12.95" customHeight="1" x14ac:dyDescent="0.25">
      <c r="A31" s="17"/>
      <c r="B31" s="17"/>
      <c r="C31" s="11">
        <v>10</v>
      </c>
      <c r="D31" s="137">
        <f t="shared" si="4"/>
        <v>519.53750000000002</v>
      </c>
      <c r="E31" s="137">
        <f t="shared" si="5"/>
        <v>414.46250000000009</v>
      </c>
      <c r="F31" s="137">
        <f t="shared" si="2"/>
        <v>440.53749999999991</v>
      </c>
      <c r="G31" s="137">
        <f t="shared" si="3"/>
        <v>335.46249999999998</v>
      </c>
      <c r="H31" s="64"/>
      <c r="I31" s="17"/>
      <c r="J31" s="182"/>
      <c r="K31" s="181"/>
      <c r="L31" s="181"/>
      <c r="M31" s="181"/>
      <c r="N31" s="17"/>
      <c r="O31" s="17"/>
      <c r="P31" s="109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V31" s="101"/>
      <c r="AW31" s="101"/>
      <c r="AX31" s="101"/>
      <c r="AY31" s="101"/>
      <c r="AZ31" s="101"/>
    </row>
    <row r="32" spans="1:52" ht="12.95" customHeight="1" x14ac:dyDescent="0.25">
      <c r="A32" s="17"/>
      <c r="B32" s="17"/>
      <c r="C32" s="11">
        <v>11</v>
      </c>
      <c r="D32" s="137">
        <f t="shared" si="4"/>
        <v>571.49125000000004</v>
      </c>
      <c r="E32" s="137">
        <f t="shared" si="5"/>
        <v>455.90875000000005</v>
      </c>
      <c r="F32" s="137">
        <f t="shared" si="2"/>
        <v>484.59124999999995</v>
      </c>
      <c r="G32" s="137">
        <f t="shared" si="3"/>
        <v>369.00875000000002</v>
      </c>
      <c r="H32" s="64"/>
      <c r="I32" s="17"/>
      <c r="J32" s="157" t="str">
        <f>IF(Q152=1,"MPPT3", "")</f>
        <v/>
      </c>
      <c r="K32" s="174">
        <v>20</v>
      </c>
      <c r="L32" s="173">
        <v>1</v>
      </c>
      <c r="M32" s="135">
        <f>IF(Q152=1,(K32*L32*$E$9/1000),0)</f>
        <v>0</v>
      </c>
      <c r="N32" s="135">
        <f>IF(Q152=1,K32*L32*$N$9,0)</f>
        <v>0</v>
      </c>
      <c r="O32" s="17"/>
      <c r="P32" s="109"/>
      <c r="AV32" s="101"/>
      <c r="AW32" s="101"/>
      <c r="AX32" s="101"/>
      <c r="AY32" s="101"/>
      <c r="AZ32" s="101"/>
    </row>
    <row r="33" spans="1:52" ht="12.95" customHeight="1" x14ac:dyDescent="0.25">
      <c r="A33" s="17"/>
      <c r="B33" s="17"/>
      <c r="C33" s="11">
        <v>12</v>
      </c>
      <c r="D33" s="137">
        <f t="shared" si="4"/>
        <v>623.44499999999994</v>
      </c>
      <c r="E33" s="137">
        <f t="shared" si="5"/>
        <v>497.35500000000008</v>
      </c>
      <c r="F33" s="137">
        <f t="shared" si="2"/>
        <v>528.64499999999998</v>
      </c>
      <c r="G33" s="137">
        <f t="shared" si="3"/>
        <v>402.55500000000001</v>
      </c>
      <c r="H33" s="64"/>
      <c r="I33" s="17"/>
      <c r="J33" s="193" t="str">
        <f>IF(Q152=1,"Status", "")</f>
        <v/>
      </c>
      <c r="K33" s="194" t="str">
        <f>IF(R107=1,"okay",IF(Tabelle1!$A$1=1,R134,IF(Tabelle1!$A$1=2,R135)))</f>
        <v>Falsche Panel-Anzahl</v>
      </c>
      <c r="L33" s="195" t="str">
        <f>IF(R109=1,"okay",IF(Tabelle1!$A$1=1,R136,IF(Tabelle1!$A$1=2,R137)))</f>
        <v>okay</v>
      </c>
      <c r="M33" s="195" t="str">
        <f>IF(R110=1,"okay",IF(Tabelle1!$A$1=1,R138,IF(Tabelle1!$A$1=2,R139)))</f>
        <v>okay</v>
      </c>
      <c r="N33" s="17"/>
      <c r="O33" s="17"/>
      <c r="P33" s="106"/>
      <c r="AV33" s="101"/>
      <c r="AW33" s="101"/>
      <c r="AX33" s="101"/>
      <c r="AY33" s="101"/>
      <c r="AZ33" s="101"/>
    </row>
    <row r="34" spans="1:52" ht="12.95" customHeight="1" x14ac:dyDescent="0.25">
      <c r="A34" s="17"/>
      <c r="B34" s="17"/>
      <c r="C34" s="11">
        <v>13</v>
      </c>
      <c r="D34" s="137">
        <f t="shared" si="4"/>
        <v>675.39874999999995</v>
      </c>
      <c r="E34" s="137">
        <f t="shared" si="5"/>
        <v>538.8012500000001</v>
      </c>
      <c r="F34" s="137">
        <f t="shared" si="2"/>
        <v>572.6987499999999</v>
      </c>
      <c r="G34" s="137">
        <f t="shared" si="3"/>
        <v>436.10124999999999</v>
      </c>
      <c r="H34" s="64"/>
      <c r="I34" s="17"/>
      <c r="J34" s="193"/>
      <c r="K34" s="194"/>
      <c r="L34" s="195"/>
      <c r="M34" s="195"/>
      <c r="N34" s="17"/>
      <c r="O34" s="17"/>
      <c r="AV34" s="101"/>
      <c r="AW34" s="101"/>
      <c r="AX34" s="101"/>
      <c r="AY34" s="101"/>
      <c r="AZ34" s="101"/>
    </row>
    <row r="35" spans="1:52" ht="12.95" customHeight="1" x14ac:dyDescent="0.25">
      <c r="A35" s="17"/>
      <c r="B35" s="17"/>
      <c r="C35" s="11">
        <v>14</v>
      </c>
      <c r="D35" s="137">
        <f t="shared" si="4"/>
        <v>727.35249999999996</v>
      </c>
      <c r="E35" s="137">
        <f t="shared" si="5"/>
        <v>580.24750000000006</v>
      </c>
      <c r="F35" s="137">
        <f t="shared" si="2"/>
        <v>616.75249999999994</v>
      </c>
      <c r="G35" s="137">
        <f t="shared" si="3"/>
        <v>469.64750000000004</v>
      </c>
      <c r="H35" s="64"/>
      <c r="I35" s="17"/>
      <c r="J35" s="156"/>
      <c r="K35" s="181"/>
      <c r="L35" s="181"/>
      <c r="M35" s="181"/>
      <c r="N35" s="17"/>
      <c r="O35" s="17"/>
      <c r="AV35" s="101"/>
      <c r="AW35" s="101"/>
      <c r="AX35" s="101"/>
      <c r="AY35" s="101"/>
      <c r="AZ35" s="101"/>
    </row>
    <row r="36" spans="1:52" ht="12.95" customHeight="1" x14ac:dyDescent="0.25">
      <c r="A36" s="17"/>
      <c r="B36" s="17"/>
      <c r="C36" s="11">
        <v>15</v>
      </c>
      <c r="D36" s="137">
        <f t="shared" si="4"/>
        <v>779.30624999999998</v>
      </c>
      <c r="E36" s="137">
        <f t="shared" si="5"/>
        <v>621.69375000000014</v>
      </c>
      <c r="F36" s="137">
        <f t="shared" si="2"/>
        <v>660.80624999999986</v>
      </c>
      <c r="G36" s="137">
        <f t="shared" si="3"/>
        <v>503.19375000000002</v>
      </c>
      <c r="H36" s="64"/>
      <c r="I36" s="17"/>
      <c r="J36" s="157" t="str">
        <f>IF(Q152=1,"MPPT4", "")</f>
        <v/>
      </c>
      <c r="K36" s="174">
        <v>22</v>
      </c>
      <c r="L36" s="173">
        <v>1</v>
      </c>
      <c r="M36" s="135">
        <f>IF(Q152=1,K36*L36*$E$9/1000,0)</f>
        <v>0</v>
      </c>
      <c r="N36" s="135">
        <f>IF(Q152=1,K36*L36*$N$9,0)</f>
        <v>0</v>
      </c>
      <c r="O36" s="17"/>
      <c r="P36" s="110"/>
      <c r="AV36" s="101"/>
      <c r="AW36" s="101"/>
      <c r="AX36" s="101"/>
      <c r="AY36" s="101"/>
      <c r="AZ36" s="101"/>
    </row>
    <row r="37" spans="1:52" ht="12.95" customHeight="1" x14ac:dyDescent="0.25">
      <c r="A37" s="17"/>
      <c r="B37" s="17"/>
      <c r="C37" s="11">
        <v>16</v>
      </c>
      <c r="D37" s="137">
        <f t="shared" si="4"/>
        <v>831.26</v>
      </c>
      <c r="E37" s="137">
        <f t="shared" si="5"/>
        <v>663.1400000000001</v>
      </c>
      <c r="F37" s="137">
        <f t="shared" si="2"/>
        <v>704.8599999999999</v>
      </c>
      <c r="G37" s="137">
        <f t="shared" si="3"/>
        <v>536.74</v>
      </c>
      <c r="H37" s="64"/>
      <c r="I37" s="17"/>
      <c r="J37" s="193" t="str">
        <f>J33</f>
        <v/>
      </c>
      <c r="K37" s="194" t="str">
        <f>IF(R115=1,"okay",IF(Tabelle1!$A$1=1,R134,IF(Tabelle1!$A$1=2,R135)))</f>
        <v>Falsche Panel-Anzahl</v>
      </c>
      <c r="L37" s="195" t="str">
        <f>IF(R117=1,"okay",IF(Tabelle1!$A$1=1,R136,IF(Tabelle1!$A$1=2,R137)))</f>
        <v>okay</v>
      </c>
      <c r="M37" s="195" t="str">
        <f>IF(R118=1,"okay",IF(Tabelle1!$A$1=1,R138,IF(Tabelle1!$A$1=2,R139)))</f>
        <v>okay</v>
      </c>
      <c r="N37" s="17"/>
      <c r="O37" s="17"/>
      <c r="AA37" s="118"/>
      <c r="AC37" s="101"/>
      <c r="AE37" s="119"/>
      <c r="AF37" s="119"/>
      <c r="AG37" s="119"/>
      <c r="AH37" s="120"/>
      <c r="AI37" s="120"/>
      <c r="AJ37" s="118"/>
      <c r="AK37" s="118"/>
      <c r="AV37" s="117"/>
      <c r="AW37" s="117"/>
      <c r="AX37" s="117"/>
      <c r="AY37" s="117"/>
      <c r="AZ37" s="117"/>
    </row>
    <row r="38" spans="1:52" ht="12.95" customHeight="1" x14ac:dyDescent="0.25">
      <c r="A38" s="17"/>
      <c r="B38" s="17"/>
      <c r="C38" s="11">
        <v>17</v>
      </c>
      <c r="D38" s="137">
        <f t="shared" si="4"/>
        <v>883.21375</v>
      </c>
      <c r="E38" s="137">
        <f t="shared" si="5"/>
        <v>704.58625000000006</v>
      </c>
      <c r="F38" s="137">
        <f t="shared" si="2"/>
        <v>748.91374999999994</v>
      </c>
      <c r="G38" s="137">
        <f t="shared" si="3"/>
        <v>570.28625</v>
      </c>
      <c r="H38" s="64"/>
      <c r="I38" s="17"/>
      <c r="J38" s="193"/>
      <c r="K38" s="194"/>
      <c r="L38" s="195"/>
      <c r="M38" s="195"/>
      <c r="N38" s="17"/>
      <c r="O38" s="17"/>
      <c r="P38" s="110"/>
      <c r="AV38" s="117"/>
      <c r="AW38" s="117"/>
      <c r="AX38" s="117"/>
      <c r="AY38" s="117"/>
      <c r="AZ38" s="117"/>
    </row>
    <row r="39" spans="1:52" ht="12.95" customHeight="1" x14ac:dyDescent="0.25">
      <c r="A39" s="17"/>
      <c r="B39" s="17"/>
      <c r="C39" s="11">
        <v>18</v>
      </c>
      <c r="D39" s="137">
        <f t="shared" si="4"/>
        <v>935.16750000000002</v>
      </c>
      <c r="E39" s="137">
        <f t="shared" si="5"/>
        <v>746.03250000000014</v>
      </c>
      <c r="F39" s="137">
        <f t="shared" si="2"/>
        <v>792.96749999999986</v>
      </c>
      <c r="G39" s="137">
        <f t="shared" si="3"/>
        <v>603.83249999999998</v>
      </c>
      <c r="H39" s="64"/>
      <c r="I39" s="17"/>
      <c r="J39" s="156"/>
      <c r="K39" s="17"/>
      <c r="L39" s="17"/>
      <c r="M39" s="17"/>
      <c r="N39" s="17"/>
      <c r="O39" s="17"/>
      <c r="P39" s="110"/>
      <c r="AV39" s="117"/>
      <c r="AW39" s="117"/>
      <c r="AX39" s="117"/>
      <c r="AY39" s="117"/>
      <c r="AZ39" s="117"/>
    </row>
    <row r="40" spans="1:52" ht="12.95" customHeight="1" x14ac:dyDescent="0.25">
      <c r="A40" s="17"/>
      <c r="B40" s="17"/>
      <c r="C40" s="11">
        <v>19</v>
      </c>
      <c r="D40" s="137">
        <f t="shared" si="4"/>
        <v>987.12125000000003</v>
      </c>
      <c r="E40" s="137">
        <f t="shared" si="5"/>
        <v>787.4787500000001</v>
      </c>
      <c r="F40" s="137">
        <f t="shared" si="2"/>
        <v>837.0212499999999</v>
      </c>
      <c r="G40" s="137">
        <f t="shared" si="3"/>
        <v>637.37874999999997</v>
      </c>
      <c r="H40" s="64"/>
      <c r="I40" s="17"/>
      <c r="J40" s="156" t="s">
        <v>82</v>
      </c>
      <c r="K40" s="17"/>
      <c r="L40" s="17"/>
      <c r="M40" s="135">
        <f>M28+M24+M32+M36</f>
        <v>19.079999999999998</v>
      </c>
      <c r="N40" s="135">
        <f>N28+N24+N32+N36</f>
        <v>84.748896000000002</v>
      </c>
      <c r="O40" s="17"/>
      <c r="P40" s="110"/>
      <c r="AD40" s="117"/>
      <c r="AE40" s="117"/>
      <c r="AF40" s="117"/>
    </row>
    <row r="41" spans="1:52" ht="12.95" customHeight="1" x14ac:dyDescent="0.25">
      <c r="A41" s="17"/>
      <c r="B41" s="17"/>
      <c r="C41" s="11">
        <v>20</v>
      </c>
      <c r="D41" s="137">
        <f t="shared" si="4"/>
        <v>1039.075</v>
      </c>
      <c r="E41" s="137">
        <f t="shared" si="5"/>
        <v>828.92500000000018</v>
      </c>
      <c r="F41" s="137">
        <f t="shared" si="2"/>
        <v>881.07499999999982</v>
      </c>
      <c r="G41" s="137">
        <f t="shared" si="3"/>
        <v>670.92499999999995</v>
      </c>
      <c r="H41" s="64"/>
      <c r="I41" s="17"/>
      <c r="J41" s="17"/>
      <c r="K41" s="17"/>
      <c r="L41" s="93"/>
      <c r="M41" s="93"/>
      <c r="N41" s="93"/>
      <c r="O41" s="17"/>
      <c r="AD41" s="117"/>
      <c r="AE41" s="117"/>
      <c r="AF41" s="117"/>
    </row>
    <row r="42" spans="1:52" ht="12.95" customHeight="1" x14ac:dyDescent="0.25">
      <c r="A42" s="17"/>
      <c r="B42" s="17"/>
      <c r="C42" s="11">
        <v>21</v>
      </c>
      <c r="D42" s="137">
        <f t="shared" si="4"/>
        <v>1091.0287499999999</v>
      </c>
      <c r="E42" s="137">
        <f t="shared" si="5"/>
        <v>870.37125000000015</v>
      </c>
      <c r="F42" s="137">
        <f t="shared" si="2"/>
        <v>925.12874999999985</v>
      </c>
      <c r="G42" s="137">
        <f t="shared" si="3"/>
        <v>704.47125000000005</v>
      </c>
      <c r="H42" s="64"/>
      <c r="I42" s="17"/>
      <c r="J42" s="165" t="str">
        <f>IF(Tabelle1!$A$1=1,"Hinweis :",IF(Tabelle1!$A$1=2,"Note :"))</f>
        <v>Hinweis :</v>
      </c>
      <c r="K42" s="186" t="str">
        <f>IF(AND(Tabelle1!$A$1=1,OR(Q153=1,Q154)),R140,"")&amp;IF(AND(Tabelle1!$A$1=2,OR(Q153=1,Q154)),R141,"")&amp;IF(AND(Tabelle1!$A$1=1,Q150),R142,"")&amp;IF(AND(Tabelle1!$A$1=2,Q150),R143,"")&amp;IF(AND(Tabelle1!$A$1=1,Q151),R144,"")&amp;IF(AND(Tabelle1!$A$1=2,Q151),R145,"")&amp;IF(AND(Tabelle1!$A$1=1,Q152),R146,"")&amp;IF(AND(Tabelle1!$A$1=2,Q152),R147,"")</f>
        <v/>
      </c>
      <c r="L42" s="186"/>
      <c r="M42" s="186"/>
      <c r="N42" s="187"/>
      <c r="O42" s="17"/>
      <c r="AD42" s="117"/>
      <c r="AE42" s="117"/>
      <c r="AF42" s="117"/>
    </row>
    <row r="43" spans="1:52" ht="12.95" customHeight="1" x14ac:dyDescent="0.25">
      <c r="A43" s="17"/>
      <c r="B43" s="17"/>
      <c r="C43" s="11">
        <v>22</v>
      </c>
      <c r="D43" s="137">
        <f t="shared" si="4"/>
        <v>1142.9825000000001</v>
      </c>
      <c r="E43" s="137">
        <f t="shared" si="5"/>
        <v>911.81750000000011</v>
      </c>
      <c r="F43" s="137">
        <f t="shared" si="2"/>
        <v>969.18249999999989</v>
      </c>
      <c r="G43" s="137">
        <f t="shared" si="3"/>
        <v>738.01750000000004</v>
      </c>
      <c r="H43" s="64"/>
      <c r="I43" s="17"/>
      <c r="J43" s="164"/>
      <c r="K43" s="188"/>
      <c r="L43" s="188"/>
      <c r="M43" s="188"/>
      <c r="N43" s="189"/>
      <c r="O43" s="93"/>
      <c r="P43" s="111"/>
      <c r="AD43" s="117"/>
      <c r="AE43" s="117"/>
      <c r="AF43" s="117"/>
    </row>
    <row r="44" spans="1:52" ht="12.95" customHeight="1" x14ac:dyDescent="0.25">
      <c r="A44" s="17"/>
      <c r="B44" s="17"/>
      <c r="C44" s="11">
        <v>23</v>
      </c>
      <c r="D44" s="137">
        <f t="shared" si="4"/>
        <v>1194.93625</v>
      </c>
      <c r="E44" s="137">
        <f t="shared" si="5"/>
        <v>953.26375000000019</v>
      </c>
      <c r="F44" s="137">
        <f t="shared" si="2"/>
        <v>1013.2362499999998</v>
      </c>
      <c r="G44" s="137">
        <f t="shared" si="3"/>
        <v>771.56375000000003</v>
      </c>
      <c r="H44" s="64"/>
      <c r="I44" s="17"/>
      <c r="J44" s="164"/>
      <c r="K44" s="188"/>
      <c r="L44" s="188"/>
      <c r="M44" s="188"/>
      <c r="N44" s="189"/>
      <c r="O44" s="93"/>
      <c r="P44" s="111"/>
    </row>
    <row r="45" spans="1:52" ht="12.95" customHeight="1" x14ac:dyDescent="0.25">
      <c r="A45" s="17"/>
      <c r="B45" s="17"/>
      <c r="C45" s="11">
        <v>24</v>
      </c>
      <c r="D45" s="137">
        <f t="shared" si="4"/>
        <v>1246.8899999999999</v>
      </c>
      <c r="E45" s="137">
        <f t="shared" si="5"/>
        <v>994.71000000000015</v>
      </c>
      <c r="F45" s="137">
        <f t="shared" si="2"/>
        <v>1057.29</v>
      </c>
      <c r="G45" s="137">
        <f t="shared" si="3"/>
        <v>805.11</v>
      </c>
      <c r="H45" s="64"/>
      <c r="I45" s="17"/>
      <c r="J45" s="164"/>
      <c r="K45" s="188"/>
      <c r="L45" s="188"/>
      <c r="M45" s="188"/>
      <c r="N45" s="189"/>
      <c r="O45" s="93"/>
      <c r="P45" s="111"/>
      <c r="Z45" s="121"/>
      <c r="AB45" s="122"/>
      <c r="AE45" s="118"/>
      <c r="AF45" s="118"/>
    </row>
    <row r="46" spans="1:52" ht="12.95" customHeight="1" x14ac:dyDescent="0.25">
      <c r="A46" s="17"/>
      <c r="B46" s="17"/>
      <c r="C46" s="11">
        <v>25</v>
      </c>
      <c r="D46" s="137">
        <f t="shared" si="4"/>
        <v>1298.84375</v>
      </c>
      <c r="E46" s="137">
        <f t="shared" si="5"/>
        <v>1036.1562500000002</v>
      </c>
      <c r="F46" s="137">
        <f t="shared" si="2"/>
        <v>1101.3437499999998</v>
      </c>
      <c r="G46" s="137">
        <f t="shared" si="3"/>
        <v>838.65625</v>
      </c>
      <c r="H46" s="64"/>
      <c r="I46" s="66"/>
      <c r="J46" s="164"/>
      <c r="K46" s="188"/>
      <c r="L46" s="188"/>
      <c r="M46" s="188"/>
      <c r="N46" s="189"/>
      <c r="O46" s="93"/>
      <c r="P46" s="111"/>
    </row>
    <row r="47" spans="1:52" ht="12.95" customHeight="1" x14ac:dyDescent="0.25">
      <c r="A47" s="17"/>
      <c r="B47" s="17"/>
      <c r="C47" s="11">
        <v>26</v>
      </c>
      <c r="D47" s="137">
        <f t="shared" si="4"/>
        <v>1350.7974999999999</v>
      </c>
      <c r="E47" s="137">
        <f t="shared" si="5"/>
        <v>1077.6025000000002</v>
      </c>
      <c r="F47" s="137">
        <f t="shared" si="2"/>
        <v>1145.3974999999998</v>
      </c>
      <c r="G47" s="137">
        <f t="shared" si="3"/>
        <v>872.20249999999999</v>
      </c>
      <c r="H47" s="64"/>
      <c r="I47" s="66"/>
      <c r="J47" s="164"/>
      <c r="K47" s="188"/>
      <c r="L47" s="188"/>
      <c r="M47" s="188"/>
      <c r="N47" s="189"/>
      <c r="O47" s="93"/>
      <c r="P47" s="111"/>
    </row>
    <row r="48" spans="1:52" ht="12.95" customHeight="1" x14ac:dyDescent="0.25">
      <c r="A48" s="17"/>
      <c r="B48" s="17"/>
      <c r="C48" s="11">
        <v>27</v>
      </c>
      <c r="D48" s="137">
        <f t="shared" si="4"/>
        <v>1402.75125</v>
      </c>
      <c r="E48" s="137">
        <f t="shared" si="5"/>
        <v>1119.0487500000002</v>
      </c>
      <c r="F48" s="137">
        <f t="shared" si="2"/>
        <v>1189.4512499999998</v>
      </c>
      <c r="G48" s="137">
        <f t="shared" si="3"/>
        <v>905.74874999999997</v>
      </c>
      <c r="H48" s="64"/>
      <c r="I48" s="66"/>
      <c r="J48" s="164"/>
      <c r="K48" s="188"/>
      <c r="L48" s="188"/>
      <c r="M48" s="188"/>
      <c r="N48" s="189"/>
      <c r="O48" s="17"/>
      <c r="AV48" s="122"/>
      <c r="AW48" s="122"/>
      <c r="AX48" s="122"/>
      <c r="AY48" s="122"/>
      <c r="AZ48" s="122"/>
    </row>
    <row r="49" spans="1:52" ht="12.95" customHeight="1" x14ac:dyDescent="0.25">
      <c r="A49" s="17"/>
      <c r="B49" s="17"/>
      <c r="C49" s="11">
        <v>28</v>
      </c>
      <c r="D49" s="137">
        <f t="shared" si="4"/>
        <v>1454.7049999999999</v>
      </c>
      <c r="E49" s="137">
        <f t="shared" si="5"/>
        <v>1160.4950000000001</v>
      </c>
      <c r="F49" s="137">
        <f t="shared" si="2"/>
        <v>1233.5049999999999</v>
      </c>
      <c r="G49" s="137">
        <f t="shared" si="3"/>
        <v>939.29500000000007</v>
      </c>
      <c r="H49" s="64"/>
      <c r="I49" s="89"/>
      <c r="J49" s="164"/>
      <c r="K49" s="188"/>
      <c r="L49" s="188"/>
      <c r="M49" s="188"/>
      <c r="N49" s="189"/>
      <c r="O49" s="17"/>
      <c r="AV49" s="122"/>
      <c r="AW49" s="122"/>
      <c r="AX49" s="122"/>
      <c r="AY49" s="122"/>
      <c r="AZ49" s="122"/>
    </row>
    <row r="50" spans="1:52" ht="21.95" customHeight="1" x14ac:dyDescent="0.25">
      <c r="A50" s="17"/>
      <c r="B50" s="17"/>
      <c r="C50" s="11">
        <v>29</v>
      </c>
      <c r="D50" s="137">
        <f t="shared" si="4"/>
        <v>1506.6587500000001</v>
      </c>
      <c r="E50" s="137">
        <f t="shared" si="5"/>
        <v>1201.9412500000001</v>
      </c>
      <c r="F50" s="137">
        <f t="shared" si="2"/>
        <v>1277.5587499999999</v>
      </c>
      <c r="G50" s="137">
        <f t="shared" si="3"/>
        <v>972.84125000000006</v>
      </c>
      <c r="H50" s="64"/>
      <c r="I50" s="89"/>
      <c r="J50" s="164"/>
      <c r="K50" s="188"/>
      <c r="L50" s="188"/>
      <c r="M50" s="188"/>
      <c r="N50" s="189"/>
      <c r="O50" s="17"/>
      <c r="P50" s="112"/>
      <c r="AA50" s="110"/>
      <c r="AB50" s="119"/>
      <c r="AC50" s="119"/>
      <c r="AD50" s="123"/>
      <c r="AE50" s="123"/>
      <c r="AF50" s="114"/>
      <c r="AG50" s="124"/>
    </row>
    <row r="51" spans="1:52" ht="12.95" customHeight="1" x14ac:dyDescent="0.25">
      <c r="A51" s="17"/>
      <c r="B51" s="17"/>
      <c r="C51" s="17"/>
      <c r="D51" s="17"/>
      <c r="E51" s="17"/>
      <c r="F51" s="17"/>
      <c r="G51" s="17"/>
      <c r="H51" s="64"/>
      <c r="I51" s="89"/>
      <c r="J51" s="164"/>
      <c r="K51" s="188"/>
      <c r="L51" s="188"/>
      <c r="M51" s="188"/>
      <c r="N51" s="189"/>
      <c r="O51" s="17"/>
    </row>
    <row r="52" spans="1:52" ht="12.95" customHeight="1" thickBot="1" x14ac:dyDescent="0.3">
      <c r="A52" s="17"/>
      <c r="B52" s="17"/>
      <c r="C52" s="155" t="str">
        <f>IF(Tabelle1!$A$1=1,"ANZAHL STRINGS PRO MPPT",IF(Tabelle1!$A$1=2,"NUMBER OF
STRINGS PER MPPT"))</f>
        <v>ANZAHL STRINGS PRO MPPT</v>
      </c>
      <c r="D52" s="155" t="s">
        <v>50</v>
      </c>
      <c r="E52" s="155" t="s">
        <v>76</v>
      </c>
      <c r="F52" s="155" t="s">
        <v>77</v>
      </c>
      <c r="G52" s="155" t="s">
        <v>78</v>
      </c>
      <c r="H52" s="17"/>
      <c r="I52" s="17"/>
      <c r="J52" s="164"/>
      <c r="K52" s="188"/>
      <c r="L52" s="188"/>
      <c r="M52" s="188"/>
      <c r="N52" s="189"/>
      <c r="O52" s="66"/>
    </row>
    <row r="53" spans="1:52" ht="12.95" customHeight="1" thickBot="1" x14ac:dyDescent="0.3">
      <c r="A53" s="17"/>
      <c r="B53" s="17"/>
      <c r="C53" s="149" t="str">
        <f>IF(Tabelle1!$A$1=1,"Anzahl",IF(Tabelle1!$A$1=2,"Number"))</f>
        <v>Anzahl</v>
      </c>
      <c r="D53" s="149" t="s">
        <v>25</v>
      </c>
      <c r="E53" s="149" t="s">
        <v>25</v>
      </c>
      <c r="F53" s="149" t="s">
        <v>25</v>
      </c>
      <c r="G53" s="149" t="s">
        <v>25</v>
      </c>
      <c r="H53" s="53"/>
      <c r="I53" s="17"/>
      <c r="J53" s="164"/>
      <c r="K53" s="188"/>
      <c r="L53" s="188"/>
      <c r="M53" s="188"/>
      <c r="N53" s="189"/>
      <c r="O53" s="17"/>
    </row>
    <row r="54" spans="1:52" ht="12.95" customHeight="1" x14ac:dyDescent="0.25">
      <c r="A54" s="17"/>
      <c r="B54" s="17"/>
      <c r="C54" s="138">
        <v>1</v>
      </c>
      <c r="D54" s="139">
        <f>$F$17*$C54</f>
        <v>14.691600000000001</v>
      </c>
      <c r="E54" s="139">
        <f>$F$18*$C54</f>
        <v>14.1084</v>
      </c>
      <c r="F54" s="139">
        <f>$G$17*$C54</f>
        <v>14.091600000000001</v>
      </c>
      <c r="G54" s="139">
        <f>$G$18*$C54</f>
        <v>13.5084</v>
      </c>
      <c r="H54" s="53"/>
      <c r="I54" s="17"/>
      <c r="J54" s="164"/>
      <c r="K54" s="188"/>
      <c r="L54" s="188"/>
      <c r="M54" s="188"/>
      <c r="N54" s="189"/>
      <c r="O54" s="17"/>
    </row>
    <row r="55" spans="1:52" ht="12.95" customHeight="1" x14ac:dyDescent="0.25">
      <c r="A55" s="17"/>
      <c r="B55" s="17"/>
      <c r="C55" s="138">
        <v>2</v>
      </c>
      <c r="D55" s="139">
        <f>$F$17*$C55</f>
        <v>29.383200000000002</v>
      </c>
      <c r="E55" s="139">
        <f>$F$18*$C55</f>
        <v>28.216799999999999</v>
      </c>
      <c r="F55" s="139">
        <f>$G$17*$C55</f>
        <v>28.183200000000003</v>
      </c>
      <c r="G55" s="139">
        <f>$G$18*$C55</f>
        <v>27.0168</v>
      </c>
      <c r="H55" s="53"/>
      <c r="I55" s="17"/>
      <c r="J55" s="164"/>
      <c r="K55" s="188"/>
      <c r="L55" s="188"/>
      <c r="M55" s="188"/>
      <c r="N55" s="189"/>
      <c r="O55" s="17"/>
    </row>
    <row r="56" spans="1:52" ht="15.75" customHeight="1" x14ac:dyDescent="0.25">
      <c r="A56" s="17"/>
      <c r="B56" s="17"/>
      <c r="C56" s="138">
        <v>3</v>
      </c>
      <c r="D56" s="139">
        <f>$F$17*$C56</f>
        <v>44.074800000000003</v>
      </c>
      <c r="E56" s="139">
        <f>$F$18*$C56</f>
        <v>42.325199999999995</v>
      </c>
      <c r="F56" s="139">
        <f>$G$17*$C56</f>
        <v>42.274800000000006</v>
      </c>
      <c r="G56" s="139">
        <f>$G$18*$C56</f>
        <v>40.525199999999998</v>
      </c>
      <c r="H56" s="53"/>
      <c r="I56" s="17"/>
      <c r="J56" s="190" t="str">
        <f>IF(Tabelle1!$A$1=1,"Beim Ausdruck bitte A3 Format verwenden",IF(Tabelle1!$A$1=2,"Please use A3 format for printing"))</f>
        <v>Beim Ausdruck bitte A3 Format verwenden</v>
      </c>
      <c r="K56" s="191"/>
      <c r="L56" s="191"/>
      <c r="M56" s="191"/>
      <c r="N56" s="192"/>
      <c r="O56" s="17"/>
    </row>
    <row r="57" spans="1:52" ht="15.75" customHeight="1" x14ac:dyDescent="0.25">
      <c r="A57" s="17"/>
      <c r="B57" s="17"/>
      <c r="C57" s="138">
        <v>4</v>
      </c>
      <c r="D57" s="139">
        <f>$F$17*$C57</f>
        <v>58.766400000000004</v>
      </c>
      <c r="E57" s="139">
        <f>$F$18*$C57</f>
        <v>56.433599999999998</v>
      </c>
      <c r="F57" s="139">
        <f>$G$17*$C57</f>
        <v>56.366400000000006</v>
      </c>
      <c r="G57" s="139">
        <f>$G$18*$C57</f>
        <v>54.0336</v>
      </c>
      <c r="H57" s="53"/>
      <c r="I57" s="17"/>
      <c r="J57" s="66"/>
      <c r="K57" s="93"/>
      <c r="L57" s="93"/>
      <c r="M57" s="93"/>
      <c r="N57" s="93"/>
      <c r="O57" s="17"/>
    </row>
    <row r="58" spans="1:52" ht="15.75" customHeight="1" x14ac:dyDescent="0.25">
      <c r="A58" s="17"/>
      <c r="B58" s="17"/>
      <c r="C58" s="19"/>
      <c r="D58" s="158"/>
      <c r="E58" s="159"/>
      <c r="F58" s="54"/>
      <c r="G58" s="55"/>
      <c r="H58" s="53"/>
      <c r="I58" s="17"/>
      <c r="J58" s="17"/>
      <c r="K58" s="93"/>
      <c r="L58" s="93"/>
      <c r="M58" s="93"/>
      <c r="N58" s="93"/>
      <c r="O58" s="17"/>
    </row>
    <row r="59" spans="1:52" ht="15.75" customHeight="1" x14ac:dyDescent="0.25">
      <c r="A59" s="17"/>
      <c r="B59" s="17"/>
      <c r="C59" s="19"/>
      <c r="D59" s="158"/>
      <c r="E59" s="159"/>
      <c r="F59" s="54"/>
      <c r="G59" s="55"/>
      <c r="H59" s="53"/>
      <c r="I59" s="17"/>
      <c r="J59" s="17"/>
      <c r="K59" s="17"/>
      <c r="L59" s="17"/>
      <c r="M59" s="17"/>
      <c r="N59" s="17"/>
      <c r="O59" s="17"/>
    </row>
    <row r="60" spans="1:52" ht="15.75" customHeight="1" x14ac:dyDescent="0.25">
      <c r="A60" s="17"/>
      <c r="B60" s="17"/>
      <c r="C60" s="19"/>
      <c r="D60" s="158"/>
      <c r="E60" s="159"/>
      <c r="F60" s="54"/>
      <c r="G60" s="55"/>
      <c r="H60" s="53"/>
      <c r="I60" s="17"/>
      <c r="J60" s="180"/>
      <c r="K60" s="198" t="str">
        <f>IF(Tabelle1!$A$1=1,"→ Eingabefelder",IF(Tabelle1!$A$1=2,"→ Input fields"))</f>
        <v>→ Eingabefelder</v>
      </c>
      <c r="L60" s="198"/>
      <c r="M60" s="198"/>
      <c r="N60" s="198"/>
      <c r="O60" s="17"/>
    </row>
    <row r="61" spans="1:52" ht="15.75" customHeight="1" x14ac:dyDescent="0.25">
      <c r="A61" s="17"/>
      <c r="B61" s="17"/>
      <c r="C61" s="19"/>
      <c r="D61" s="158"/>
      <c r="E61" s="159"/>
      <c r="F61" s="54"/>
      <c r="G61" s="55"/>
      <c r="H61" s="53"/>
      <c r="I61" s="17"/>
      <c r="J61" s="166"/>
      <c r="K61" s="197" t="str">
        <f>"→ Okay"</f>
        <v>→ Okay</v>
      </c>
      <c r="L61" s="197"/>
      <c r="M61" s="197"/>
      <c r="N61" s="197"/>
      <c r="O61" s="17"/>
    </row>
    <row r="62" spans="1:52" ht="15.75" customHeight="1" x14ac:dyDescent="0.25">
      <c r="A62" s="17"/>
      <c r="B62" s="17"/>
      <c r="C62" s="19"/>
      <c r="D62" s="158"/>
      <c r="E62" s="159"/>
      <c r="F62" s="54"/>
      <c r="G62" s="55"/>
      <c r="H62" s="53"/>
      <c r="I62" s="17"/>
      <c r="J62" s="167"/>
      <c r="K62" s="196" t="str">
        <f>IF(Tabelle1!$A$1=1,"→ Konfiguration okay, jedoch mit Limitierungen",IF(Tabelle1!$A$1=2,"→ Configuration okay, but with restrictions"))</f>
        <v>→ Konfiguration okay, jedoch mit Limitierungen</v>
      </c>
      <c r="L62" s="196"/>
      <c r="M62" s="196"/>
      <c r="N62" s="196"/>
      <c r="O62" s="17"/>
    </row>
    <row r="63" spans="1:52" ht="15.75" customHeight="1" x14ac:dyDescent="0.25">
      <c r="A63" s="17"/>
      <c r="B63" s="17"/>
      <c r="C63" s="19"/>
      <c r="D63" s="158"/>
      <c r="E63" s="159"/>
      <c r="F63" s="54"/>
      <c r="G63" s="55"/>
      <c r="H63" s="53"/>
      <c r="I63" s="17"/>
      <c r="J63" s="168"/>
      <c r="K63" s="196" t="str">
        <f>IF(Tabelle1!$A$1=1,"→ Fehlerhafte Konfiguration",IF(Tabelle1!$A$1=2,"→ Faulty configuration"))</f>
        <v>→ Fehlerhafte Konfiguration</v>
      </c>
      <c r="L63" s="196"/>
      <c r="M63" s="196"/>
      <c r="N63" s="196"/>
      <c r="O63" s="17"/>
    </row>
    <row r="64" spans="1:52" ht="15.75" customHeight="1" x14ac:dyDescent="0.25">
      <c r="C64" s="20"/>
      <c r="D64" s="53"/>
      <c r="E64" s="54"/>
      <c r="F64" s="54"/>
      <c r="G64" s="55"/>
      <c r="H64" s="53"/>
      <c r="I64" s="17"/>
      <c r="J64" s="53"/>
      <c r="K64" s="170"/>
      <c r="L64" s="23"/>
      <c r="M64" s="17"/>
      <c r="N64" s="17"/>
      <c r="O64" s="17"/>
    </row>
    <row r="65" spans="6:20" ht="15.75" customHeight="1" x14ac:dyDescent="0.25"/>
    <row r="66" spans="6:20" ht="15.75" customHeight="1" x14ac:dyDescent="0.25"/>
    <row r="67" spans="6:20" ht="15.75" customHeight="1" x14ac:dyDescent="0.25"/>
    <row r="68" spans="6:20" ht="15.75" customHeight="1" x14ac:dyDescent="0.25"/>
    <row r="69" spans="6:20" ht="15.75" customHeight="1" x14ac:dyDescent="0.25"/>
    <row r="70" spans="6:20" ht="15.75" customHeight="1" x14ac:dyDescent="0.25"/>
    <row r="71" spans="6:20" ht="15.75" customHeight="1" x14ac:dyDescent="0.25">
      <c r="T71" s="18" t="s">
        <v>39</v>
      </c>
    </row>
    <row r="72" spans="6:20" ht="15.75" customHeight="1" x14ac:dyDescent="0.25">
      <c r="Q72" s="113" t="s">
        <v>36</v>
      </c>
      <c r="R72" s="18">
        <f>ROUNDUP(H13/E17,0)</f>
        <v>5</v>
      </c>
      <c r="S72" s="18">
        <f>R72*E17</f>
        <v>167.73124999999999</v>
      </c>
      <c r="T72" s="18">
        <f>(R72-1)*E17</f>
        <v>134.185</v>
      </c>
    </row>
    <row r="73" spans="6:20" ht="15.75" customHeight="1" x14ac:dyDescent="0.25">
      <c r="F73" s="98"/>
      <c r="G73" s="99"/>
      <c r="H73" s="97"/>
      <c r="J73" s="97"/>
      <c r="K73" s="100"/>
      <c r="L73" s="100"/>
      <c r="Q73" s="113" t="s">
        <v>37</v>
      </c>
      <c r="R73" s="18">
        <f>ROUNDUP(J13/D17,0)</f>
        <v>4</v>
      </c>
      <c r="S73" s="18">
        <f>R73*D17</f>
        <v>165.78500000000003</v>
      </c>
      <c r="T73" s="18">
        <f>(R73-1)*D17</f>
        <v>124.33875000000002</v>
      </c>
    </row>
    <row r="74" spans="6:20" ht="15.75" customHeight="1" x14ac:dyDescent="0.25">
      <c r="F74" s="98"/>
      <c r="G74" s="99"/>
      <c r="H74" s="97"/>
      <c r="J74" s="97"/>
      <c r="K74" s="100"/>
      <c r="L74" s="100"/>
      <c r="Q74" s="113" t="s">
        <v>35</v>
      </c>
      <c r="R74" s="18">
        <f>ROUNDDOWN(I13/E18,0)</f>
        <v>19</v>
      </c>
      <c r="S74" s="18">
        <f>R74*E18</f>
        <v>837.0212499999999</v>
      </c>
      <c r="T74" s="18">
        <f>(R74+1)*E18</f>
        <v>881.07499999999982</v>
      </c>
    </row>
    <row r="75" spans="6:20" ht="15.75" customHeight="1" x14ac:dyDescent="0.25">
      <c r="F75" s="98"/>
      <c r="G75" s="99"/>
      <c r="H75" s="97"/>
      <c r="J75" s="97"/>
      <c r="K75" s="100"/>
      <c r="L75" s="100"/>
      <c r="Q75" s="113" t="s">
        <v>38</v>
      </c>
      <c r="R75" s="18">
        <f>ROUNDDOWN(K13/D18,0)</f>
        <v>19</v>
      </c>
      <c r="S75" s="18">
        <f>R78*F17</f>
        <v>29.383200000000002</v>
      </c>
      <c r="T75" s="18">
        <f>(R78+1)*F17</f>
        <v>44.074800000000003</v>
      </c>
    </row>
    <row r="76" spans="6:20" ht="15.75" customHeight="1" x14ac:dyDescent="0.25">
      <c r="F76" s="98"/>
      <c r="G76" s="99"/>
      <c r="H76" s="97"/>
      <c r="J76" s="97"/>
      <c r="K76" s="100"/>
      <c r="L76" s="100"/>
      <c r="Q76" s="113" t="s">
        <v>49</v>
      </c>
      <c r="R76" s="18">
        <f>ROUNDDOWN(G13*1000/H18,0)</f>
        <v>33</v>
      </c>
    </row>
    <row r="77" spans="6:20" ht="15.75" customHeight="1" x14ac:dyDescent="0.25">
      <c r="F77" s="98"/>
      <c r="G77" s="99"/>
      <c r="H77" s="97"/>
      <c r="J77" s="97"/>
      <c r="K77" s="100"/>
      <c r="L77" s="100"/>
      <c r="Q77" s="113" t="s">
        <v>61</v>
      </c>
      <c r="R77" s="18">
        <f>ROUNDDOWN(L13/G17,0)</f>
        <v>2</v>
      </c>
    </row>
    <row r="78" spans="6:20" ht="15.75" customHeight="1" x14ac:dyDescent="0.25">
      <c r="F78" s="98"/>
      <c r="G78" s="99"/>
      <c r="H78" s="97"/>
      <c r="J78" s="97"/>
      <c r="K78" s="100"/>
      <c r="L78" s="100"/>
      <c r="Q78" s="113" t="s">
        <v>58</v>
      </c>
      <c r="R78" s="18">
        <f>MIN(4,ROUNDDOWN(N13/F17,0))</f>
        <v>2</v>
      </c>
    </row>
    <row r="79" spans="6:20" ht="15.75" customHeight="1" x14ac:dyDescent="0.25">
      <c r="F79" s="98"/>
      <c r="G79" s="99"/>
      <c r="H79" s="97"/>
      <c r="J79" s="97"/>
      <c r="K79" s="100"/>
      <c r="L79" s="100"/>
      <c r="Q79" s="113" t="s">
        <v>70</v>
      </c>
      <c r="R79" s="18">
        <f>ROUNDDOWN(M13/G17,0)</f>
        <v>2</v>
      </c>
    </row>
    <row r="80" spans="6:20" ht="15.75" customHeight="1" x14ac:dyDescent="0.25">
      <c r="F80" s="98"/>
      <c r="G80" s="99"/>
      <c r="H80" s="97"/>
      <c r="J80" s="97"/>
      <c r="K80" s="100"/>
      <c r="L80" s="100"/>
    </row>
    <row r="81" spans="6:20" ht="15.75" customHeight="1" x14ac:dyDescent="0.25">
      <c r="F81" s="98"/>
      <c r="G81" s="99"/>
      <c r="H81" s="97"/>
      <c r="J81" s="97"/>
      <c r="K81" s="100"/>
      <c r="L81" s="100"/>
    </row>
    <row r="82" spans="6:20" ht="15.75" customHeight="1" x14ac:dyDescent="0.25">
      <c r="F82" s="98"/>
      <c r="G82" s="99"/>
      <c r="H82" s="97"/>
      <c r="J82" s="97"/>
      <c r="K82" s="100"/>
      <c r="L82" s="100"/>
    </row>
    <row r="83" spans="6:20" ht="15.75" customHeight="1" x14ac:dyDescent="0.25">
      <c r="F83" s="98"/>
      <c r="G83" s="99"/>
      <c r="H83" s="97"/>
      <c r="J83" s="97"/>
      <c r="K83" s="100"/>
      <c r="L83" s="100"/>
    </row>
    <row r="84" spans="6:20" ht="15.75" customHeight="1" x14ac:dyDescent="0.25">
      <c r="F84" s="98"/>
      <c r="G84" s="99"/>
      <c r="H84" s="97"/>
      <c r="J84" s="97"/>
      <c r="K84" s="100"/>
      <c r="L84" s="100"/>
      <c r="Q84" s="113" t="s">
        <v>40</v>
      </c>
      <c r="R84" s="18">
        <f>MAX(R73,R72)</f>
        <v>5</v>
      </c>
    </row>
    <row r="85" spans="6:20" ht="15.75" customHeight="1" x14ac:dyDescent="0.25">
      <c r="F85" s="98"/>
      <c r="G85" s="99"/>
      <c r="H85" s="97"/>
      <c r="J85" s="97"/>
      <c r="K85" s="100"/>
      <c r="L85" s="100"/>
      <c r="Q85" s="113" t="s">
        <v>41</v>
      </c>
      <c r="R85" s="18">
        <f>MIN(R75,R74)</f>
        <v>19</v>
      </c>
    </row>
    <row r="86" spans="6:20" ht="15.75" customHeight="1" x14ac:dyDescent="0.25">
      <c r="F86" s="98"/>
      <c r="G86" s="99"/>
      <c r="H86" s="97"/>
      <c r="J86" s="97"/>
      <c r="K86" s="100"/>
      <c r="L86" s="100"/>
    </row>
    <row r="87" spans="6:20" ht="15.75" customHeight="1" x14ac:dyDescent="0.25">
      <c r="F87" s="98"/>
      <c r="G87" s="99"/>
      <c r="H87" s="97"/>
      <c r="J87" s="97"/>
      <c r="K87" s="100"/>
      <c r="L87" s="100"/>
      <c r="Q87" s="24"/>
      <c r="R87" s="24"/>
      <c r="S87" s="24"/>
      <c r="T87" s="24"/>
    </row>
    <row r="88" spans="6:20" ht="15.75" customHeight="1" x14ac:dyDescent="0.25">
      <c r="F88" s="98"/>
      <c r="G88" s="99"/>
      <c r="H88" s="97"/>
      <c r="J88" s="97"/>
      <c r="K88" s="100"/>
      <c r="L88" s="100"/>
    </row>
    <row r="89" spans="6:20" ht="15.75" customHeight="1" x14ac:dyDescent="0.25">
      <c r="F89" s="98"/>
      <c r="G89" s="99"/>
      <c r="H89" s="97"/>
      <c r="J89" s="97"/>
      <c r="K89" s="100"/>
      <c r="L89" s="100"/>
      <c r="Q89" s="113" t="s">
        <v>65</v>
      </c>
    </row>
    <row r="90" spans="6:20" ht="15.75" customHeight="1" x14ac:dyDescent="0.25">
      <c r="F90" s="98"/>
      <c r="G90" s="99"/>
      <c r="H90" s="97"/>
      <c r="J90" s="97"/>
      <c r="K90" s="100"/>
      <c r="L90" s="100"/>
      <c r="Q90" s="113" t="s">
        <v>64</v>
      </c>
      <c r="R90" s="18">
        <f>IF(SUM(R91:R94)=3,1,0)</f>
        <v>1</v>
      </c>
    </row>
    <row r="91" spans="6:20" ht="15.75" customHeight="1" x14ac:dyDescent="0.25">
      <c r="F91" s="98"/>
      <c r="G91" s="99"/>
      <c r="H91" s="97"/>
      <c r="J91" s="97"/>
      <c r="K91" s="100"/>
      <c r="L91" s="100"/>
      <c r="Q91" s="113" t="s">
        <v>66</v>
      </c>
      <c r="R91" s="18">
        <f>IF(OR(K24=0,AND(K24&gt;=$R$84,K24&lt;=R85)),1,0)</f>
        <v>1</v>
      </c>
    </row>
    <row r="92" spans="6:20" ht="15.75" customHeight="1" x14ac:dyDescent="0.25">
      <c r="F92" s="98"/>
      <c r="G92" s="99"/>
      <c r="H92" s="97"/>
      <c r="J92" s="97"/>
      <c r="K92" s="100"/>
      <c r="L92" s="100"/>
      <c r="Q92" s="113" t="s">
        <v>70</v>
      </c>
      <c r="R92" s="18">
        <f>IF(L24*$G$17&gt;$M$13,1,0)</f>
        <v>0</v>
      </c>
    </row>
    <row r="93" spans="6:20" ht="15.75" customHeight="1" x14ac:dyDescent="0.25">
      <c r="F93" s="98"/>
      <c r="G93" s="99"/>
      <c r="H93" s="97"/>
      <c r="J93" s="97"/>
      <c r="K93" s="100"/>
      <c r="L93" s="100"/>
      <c r="Q93" s="113" t="s">
        <v>68</v>
      </c>
      <c r="R93" s="18">
        <f>IF(AND(L24&gt;=0,L24&lt;=R78),1,0)</f>
        <v>1</v>
      </c>
    </row>
    <row r="94" spans="6:20" ht="15.75" customHeight="1" x14ac:dyDescent="0.25">
      <c r="F94" s="98"/>
      <c r="G94" s="99"/>
      <c r="H94" s="97"/>
      <c r="J94" s="97"/>
      <c r="K94" s="100"/>
      <c r="L94" s="100"/>
      <c r="Q94" s="113" t="s">
        <v>67</v>
      </c>
      <c r="R94" s="18">
        <f>IF(AND(M24&lt;=$G$13),1,0)</f>
        <v>1</v>
      </c>
    </row>
    <row r="95" spans="6:20" ht="15.75" customHeight="1" x14ac:dyDescent="0.25">
      <c r="F95" s="98"/>
      <c r="G95" s="99"/>
      <c r="H95" s="97"/>
      <c r="J95" s="97"/>
      <c r="K95" s="100"/>
      <c r="L95" s="100"/>
    </row>
    <row r="96" spans="6:20" ht="15.75" customHeight="1" x14ac:dyDescent="0.25">
      <c r="F96" s="98"/>
      <c r="G96" s="99"/>
      <c r="H96" s="97"/>
      <c r="J96" s="97"/>
      <c r="K96" s="100"/>
      <c r="L96" s="100"/>
    </row>
    <row r="97" spans="6:18" ht="15.75" customHeight="1" x14ac:dyDescent="0.25">
      <c r="F97" s="98"/>
      <c r="G97" s="99"/>
      <c r="H97" s="97"/>
      <c r="J97" s="97"/>
      <c r="K97" s="100"/>
      <c r="L97" s="100"/>
      <c r="Q97" s="113" t="s">
        <v>69</v>
      </c>
    </row>
    <row r="98" spans="6:18" ht="15.75" customHeight="1" x14ac:dyDescent="0.25">
      <c r="F98" s="98"/>
      <c r="G98" s="99"/>
      <c r="H98" s="97"/>
      <c r="J98" s="97"/>
      <c r="K98" s="100"/>
      <c r="L98" s="100"/>
      <c r="Q98" s="113" t="s">
        <v>64</v>
      </c>
      <c r="R98" s="18">
        <f>IF(SUM(R99:R102)=3,1,0)</f>
        <v>1</v>
      </c>
    </row>
    <row r="99" spans="6:18" ht="15.75" customHeight="1" x14ac:dyDescent="0.25">
      <c r="F99" s="98"/>
      <c r="G99" s="99"/>
      <c r="H99" s="97"/>
      <c r="J99" s="97"/>
      <c r="K99" s="100"/>
      <c r="L99" s="100"/>
      <c r="Q99" s="113" t="s">
        <v>66</v>
      </c>
      <c r="R99" s="18">
        <f>IF(OR(K28=0,AND(K28&gt;=$R$84,K28&lt;=$R$85)),1,0)</f>
        <v>1</v>
      </c>
    </row>
    <row r="100" spans="6:18" ht="15.75" customHeight="1" x14ac:dyDescent="0.25">
      <c r="F100" s="98"/>
      <c r="G100" s="99"/>
      <c r="H100" s="97"/>
      <c r="J100" s="97"/>
      <c r="K100" s="100"/>
      <c r="L100" s="100"/>
      <c r="Q100" s="113" t="s">
        <v>70</v>
      </c>
      <c r="R100" s="18">
        <f>IF(L28*$G$17&gt;$M$13,1,0)</f>
        <v>0</v>
      </c>
    </row>
    <row r="101" spans="6:18" ht="15.75" customHeight="1" x14ac:dyDescent="0.25">
      <c r="F101" s="98"/>
      <c r="G101" s="99"/>
      <c r="H101" s="97"/>
      <c r="J101" s="97"/>
      <c r="K101" s="100"/>
      <c r="L101" s="100"/>
      <c r="Q101" s="113" t="s">
        <v>68</v>
      </c>
      <c r="R101" s="18">
        <f>IF(AND(L28&gt;=0,L28&lt;=$R$78),1,0)</f>
        <v>1</v>
      </c>
    </row>
    <row r="102" spans="6:18" ht="15.75" customHeight="1" x14ac:dyDescent="0.25">
      <c r="F102" s="98"/>
      <c r="G102" s="99"/>
      <c r="H102" s="97"/>
      <c r="J102" s="97"/>
      <c r="K102" s="100"/>
      <c r="L102" s="100"/>
      <c r="Q102" s="113" t="s">
        <v>67</v>
      </c>
      <c r="R102" s="18">
        <f>IF(AND(M28&lt;=$G$13),1,0)</f>
        <v>1</v>
      </c>
    </row>
    <row r="103" spans="6:18" ht="15.75" customHeight="1" x14ac:dyDescent="0.25">
      <c r="F103" s="98"/>
      <c r="G103" s="99"/>
      <c r="H103" s="97"/>
      <c r="J103" s="97"/>
      <c r="K103" s="100"/>
      <c r="L103" s="100"/>
      <c r="Q103" s="113"/>
    </row>
    <row r="104" spans="6:18" ht="15.75" customHeight="1" x14ac:dyDescent="0.25">
      <c r="F104" s="98"/>
      <c r="G104" s="99"/>
      <c r="H104" s="97"/>
      <c r="J104" s="97"/>
      <c r="K104" s="100"/>
      <c r="L104" s="100"/>
      <c r="Q104" s="113"/>
    </row>
    <row r="105" spans="6:18" ht="15.75" customHeight="1" x14ac:dyDescent="0.25">
      <c r="F105" s="98"/>
      <c r="G105" s="99"/>
      <c r="H105" s="97"/>
      <c r="J105" s="97"/>
      <c r="K105" s="100"/>
      <c r="L105" s="100"/>
      <c r="Q105" s="113" t="s">
        <v>100</v>
      </c>
    </row>
    <row r="106" spans="6:18" ht="15.75" customHeight="1" x14ac:dyDescent="0.25">
      <c r="F106" s="98"/>
      <c r="G106" s="99"/>
      <c r="H106" s="97"/>
      <c r="J106" s="97"/>
      <c r="K106" s="100"/>
      <c r="L106" s="100"/>
      <c r="Q106" s="113" t="s">
        <v>64</v>
      </c>
      <c r="R106" s="18">
        <f>IF(SUM(R107:R110)=3,1,0)</f>
        <v>0</v>
      </c>
    </row>
    <row r="107" spans="6:18" ht="15.75" customHeight="1" x14ac:dyDescent="0.25">
      <c r="F107" s="98"/>
      <c r="G107" s="99"/>
      <c r="H107" s="97"/>
      <c r="J107" s="97"/>
      <c r="K107" s="100"/>
      <c r="L107" s="100"/>
      <c r="Q107" s="113" t="s">
        <v>66</v>
      </c>
      <c r="R107" s="18">
        <f>IF(OR(K32=0,AND(K32&gt;=$R$84,K32&lt;=$R$85)),1,0)</f>
        <v>0</v>
      </c>
    </row>
    <row r="108" spans="6:18" ht="15.75" customHeight="1" x14ac:dyDescent="0.25">
      <c r="F108" s="98"/>
      <c r="G108" s="99"/>
      <c r="H108" s="97"/>
      <c r="J108" s="97"/>
      <c r="K108" s="100"/>
      <c r="L108" s="100"/>
      <c r="Q108" s="113" t="s">
        <v>70</v>
      </c>
      <c r="R108" s="18">
        <f>IF(L32*$G$17&gt;$M$13,1,0)</f>
        <v>0</v>
      </c>
    </row>
    <row r="109" spans="6:18" ht="15.75" customHeight="1" x14ac:dyDescent="0.25">
      <c r="F109" s="98"/>
      <c r="G109" s="99"/>
      <c r="H109" s="97"/>
      <c r="J109" s="97"/>
      <c r="K109" s="100"/>
      <c r="L109" s="100"/>
      <c r="Q109" s="113" t="s">
        <v>68</v>
      </c>
      <c r="R109" s="18">
        <f>IF(AND(L32&gt;=0,L32&lt;=$R$78),1,0)</f>
        <v>1</v>
      </c>
    </row>
    <row r="110" spans="6:18" ht="15.75" customHeight="1" x14ac:dyDescent="0.25">
      <c r="F110" s="98"/>
      <c r="G110" s="99"/>
      <c r="H110" s="97"/>
      <c r="J110" s="97"/>
      <c r="K110" s="100"/>
      <c r="L110" s="100"/>
      <c r="Q110" s="113" t="s">
        <v>67</v>
      </c>
      <c r="R110" s="18">
        <f>IF(AND(M32&lt;=$G$13),1,0)</f>
        <v>1</v>
      </c>
    </row>
    <row r="111" spans="6:18" ht="15.75" customHeight="1" x14ac:dyDescent="0.25">
      <c r="F111" s="98"/>
      <c r="G111" s="99"/>
      <c r="H111" s="97"/>
      <c r="J111" s="97"/>
      <c r="K111" s="100"/>
      <c r="L111" s="100"/>
      <c r="Q111" s="113"/>
    </row>
    <row r="112" spans="6:18" ht="15.75" customHeight="1" x14ac:dyDescent="0.25">
      <c r="F112" s="98"/>
      <c r="G112" s="99"/>
      <c r="H112" s="97"/>
      <c r="J112" s="97"/>
      <c r="K112" s="100"/>
      <c r="L112" s="100"/>
      <c r="Q112" s="113"/>
    </row>
    <row r="113" spans="3:33" ht="15.75" customHeight="1" x14ac:dyDescent="0.25">
      <c r="F113" s="98"/>
      <c r="G113" s="99"/>
      <c r="H113" s="97"/>
      <c r="J113" s="97"/>
      <c r="K113" s="100"/>
      <c r="L113" s="100"/>
      <c r="Q113" s="113" t="s">
        <v>101</v>
      </c>
    </row>
    <row r="114" spans="3:33" ht="15.75" customHeight="1" x14ac:dyDescent="0.25">
      <c r="F114" s="98"/>
      <c r="G114" s="99"/>
      <c r="H114" s="97"/>
      <c r="J114" s="97"/>
      <c r="K114" s="100"/>
      <c r="L114" s="100"/>
      <c r="Q114" s="113" t="s">
        <v>64</v>
      </c>
      <c r="R114" s="18">
        <f>IF(SUM(R115:R118)=3,1,0)</f>
        <v>0</v>
      </c>
    </row>
    <row r="115" spans="3:33" ht="15.75" customHeight="1" x14ac:dyDescent="0.25">
      <c r="F115" s="98"/>
      <c r="G115" s="99"/>
      <c r="H115" s="97"/>
      <c r="J115" s="97"/>
      <c r="K115" s="100"/>
      <c r="L115" s="100"/>
      <c r="Q115" s="113" t="s">
        <v>66</v>
      </c>
      <c r="R115" s="18">
        <f>IF(OR(K36=0,AND(K36&gt;=$R$84,K36&lt;=$R$85)),1,0)</f>
        <v>0</v>
      </c>
    </row>
    <row r="116" spans="3:33" ht="15.75" customHeight="1" x14ac:dyDescent="0.25">
      <c r="C116" s="96"/>
      <c r="D116" s="97"/>
      <c r="E116" s="98"/>
      <c r="F116" s="98"/>
      <c r="G116" s="99"/>
      <c r="H116" s="97"/>
      <c r="J116" s="97"/>
      <c r="K116" s="100"/>
      <c r="L116" s="100"/>
      <c r="Q116" s="113" t="s">
        <v>70</v>
      </c>
      <c r="R116" s="18">
        <f>IF(L36*$G$17&gt;$M$13,1,0)</f>
        <v>0</v>
      </c>
    </row>
    <row r="117" spans="3:33" ht="15.75" customHeight="1" x14ac:dyDescent="0.25">
      <c r="C117" s="96"/>
      <c r="D117" s="97"/>
      <c r="E117" s="98"/>
      <c r="F117" s="98"/>
      <c r="G117" s="99"/>
      <c r="H117" s="97"/>
      <c r="J117" s="97"/>
      <c r="K117" s="100"/>
      <c r="L117" s="100"/>
      <c r="Q117" s="113" t="s">
        <v>68</v>
      </c>
      <c r="R117" s="18">
        <f>IF(AND(L36&gt;=0,L36&lt;=$R$78),1,0)</f>
        <v>1</v>
      </c>
    </row>
    <row r="118" spans="3:33" ht="15.75" customHeight="1" x14ac:dyDescent="0.25">
      <c r="C118" s="96"/>
      <c r="D118" s="97"/>
      <c r="E118" s="98"/>
      <c r="F118" s="98"/>
      <c r="G118" s="99"/>
      <c r="H118" s="97"/>
      <c r="J118" s="97"/>
      <c r="K118" s="100"/>
      <c r="L118" s="100"/>
      <c r="Q118" s="113" t="s">
        <v>67</v>
      </c>
      <c r="R118" s="18">
        <f>IF(AND(M36&lt;=$G$13),1,0)</f>
        <v>1</v>
      </c>
    </row>
    <row r="119" spans="3:33" ht="15.75" customHeight="1" x14ac:dyDescent="0.25">
      <c r="C119" s="96"/>
      <c r="D119" s="97"/>
      <c r="E119" s="98"/>
      <c r="F119" s="98"/>
      <c r="G119" s="99"/>
      <c r="H119" s="97"/>
      <c r="J119" s="97"/>
      <c r="K119" s="100"/>
      <c r="L119" s="100"/>
      <c r="Q119" s="113"/>
    </row>
    <row r="120" spans="3:33" ht="15.75" customHeight="1" x14ac:dyDescent="0.25">
      <c r="C120" s="96"/>
      <c r="D120" s="97"/>
      <c r="E120" s="98"/>
      <c r="F120" s="98"/>
      <c r="G120" s="99"/>
      <c r="H120" s="97"/>
      <c r="J120" s="97"/>
      <c r="K120" s="100"/>
      <c r="L120" s="100"/>
      <c r="Q120" s="113"/>
      <c r="R120" s="121"/>
    </row>
    <row r="121" spans="3:33" ht="15.75" customHeight="1" x14ac:dyDescent="0.25">
      <c r="C121" s="96"/>
      <c r="D121" s="97"/>
      <c r="E121" s="98"/>
      <c r="F121" s="98"/>
      <c r="G121" s="99"/>
      <c r="H121" s="97"/>
      <c r="J121" s="97"/>
      <c r="K121" s="100"/>
      <c r="L121" s="100"/>
      <c r="P121" s="184" t="s">
        <v>102</v>
      </c>
      <c r="Q121" s="113" t="s">
        <v>105</v>
      </c>
      <c r="R121" s="18">
        <f>IF((M24+M28)&gt;Inverter!D4,1,0)</f>
        <v>1</v>
      </c>
    </row>
    <row r="122" spans="3:33" ht="15.75" customHeight="1" x14ac:dyDescent="0.25">
      <c r="C122" s="96"/>
      <c r="D122" s="97"/>
      <c r="E122" s="98"/>
      <c r="F122" s="98"/>
      <c r="G122" s="99"/>
      <c r="H122" s="97"/>
      <c r="J122" s="97"/>
      <c r="K122" s="100"/>
      <c r="L122" s="100"/>
      <c r="Q122" s="113" t="s">
        <v>72</v>
      </c>
      <c r="R122" s="18">
        <f>IF((M24+M28)&gt;Inverter!F4,1,0)</f>
        <v>1</v>
      </c>
    </row>
    <row r="123" spans="3:33" ht="15.75" customHeight="1" x14ac:dyDescent="0.25">
      <c r="C123" s="96"/>
      <c r="D123" s="97"/>
      <c r="E123" s="98"/>
      <c r="F123" s="98"/>
      <c r="G123" s="99"/>
      <c r="H123" s="97"/>
      <c r="J123" s="97"/>
      <c r="K123" s="100"/>
      <c r="L123" s="100"/>
      <c r="Q123" s="113"/>
    </row>
    <row r="124" spans="3:33" x14ac:dyDescent="0.25">
      <c r="C124" s="96"/>
      <c r="D124" s="97"/>
      <c r="E124" s="98"/>
      <c r="F124" s="98"/>
      <c r="G124" s="99"/>
      <c r="H124" s="97"/>
      <c r="J124" s="97"/>
      <c r="K124" s="100"/>
      <c r="L124" s="100"/>
      <c r="P124" s="184" t="s">
        <v>90</v>
      </c>
      <c r="Q124" s="113" t="s">
        <v>105</v>
      </c>
      <c r="R124" s="18">
        <f>IF((M24+M28)&gt;Inverter!D6,1,0)</f>
        <v>1</v>
      </c>
    </row>
    <row r="125" spans="3:33" x14ac:dyDescent="0.25">
      <c r="C125" s="96"/>
      <c r="D125" s="97"/>
      <c r="E125" s="98"/>
      <c r="F125" s="98"/>
      <c r="G125" s="99"/>
      <c r="H125" s="97">
        <f t="shared" ref="H125:H163" si="6">$E$9*1*$C127/1000</f>
        <v>16.43</v>
      </c>
      <c r="J125" s="97"/>
      <c r="K125" s="100"/>
      <c r="L125" s="100"/>
      <c r="Q125" s="113" t="s">
        <v>72</v>
      </c>
      <c r="R125" s="18">
        <f>IF((M24+M28)&gt;Inverter!F6,1,0)</f>
        <v>1</v>
      </c>
    </row>
    <row r="126" spans="3:33" x14ac:dyDescent="0.25">
      <c r="C126" s="96"/>
      <c r="D126" s="97"/>
      <c r="E126" s="98"/>
      <c r="F126" s="98"/>
      <c r="G126" s="99"/>
      <c r="H126" s="97">
        <f t="shared" si="6"/>
        <v>16.96</v>
      </c>
      <c r="J126" s="97"/>
      <c r="K126" s="100"/>
      <c r="L126" s="100"/>
      <c r="Q126" s="113"/>
    </row>
    <row r="127" spans="3:33" x14ac:dyDescent="0.25">
      <c r="C127" s="96">
        <v>31</v>
      </c>
      <c r="D127" s="98">
        <f t="shared" ref="D127:D165" si="7">C127*$D$19</f>
        <v>0</v>
      </c>
      <c r="E127" s="98">
        <f t="shared" ref="E127:E128" si="8">$C127*$E$17</f>
        <v>1039.9337499999999</v>
      </c>
      <c r="F127" s="98">
        <f t="shared" ref="F127:F165" si="9">$C127*$E$19</f>
        <v>0</v>
      </c>
      <c r="G127" s="99">
        <f t="shared" ref="G127:G165" si="10">$N$9*1*$C127</f>
        <v>72.978216000000003</v>
      </c>
      <c r="H127" s="97">
        <f t="shared" si="6"/>
        <v>17.489999999999998</v>
      </c>
      <c r="J127" s="97"/>
      <c r="K127" s="100"/>
      <c r="L127" s="100"/>
      <c r="P127" s="184" t="s">
        <v>91</v>
      </c>
      <c r="Q127" s="113" t="s">
        <v>106</v>
      </c>
      <c r="R127" s="18">
        <f>IF((M24+M28)&gt;Inverter!D7,1,0)</f>
        <v>0</v>
      </c>
    </row>
    <row r="128" spans="3:33" x14ac:dyDescent="0.25">
      <c r="C128" s="96">
        <v>32</v>
      </c>
      <c r="D128" s="98">
        <f t="shared" si="7"/>
        <v>0</v>
      </c>
      <c r="E128" s="98">
        <f t="shared" si="8"/>
        <v>1073.48</v>
      </c>
      <c r="F128" s="98">
        <f t="shared" si="9"/>
        <v>0</v>
      </c>
      <c r="G128" s="99">
        <f t="shared" si="10"/>
        <v>75.332352</v>
      </c>
      <c r="H128" s="97">
        <f t="shared" si="6"/>
        <v>18.02</v>
      </c>
      <c r="J128" s="97"/>
      <c r="K128" s="100"/>
      <c r="L128" s="100"/>
      <c r="Q128" s="113" t="s">
        <v>103</v>
      </c>
      <c r="R128" s="18">
        <f>IF((M24+M28)&gt;Inverter!F7,1,0)</f>
        <v>0</v>
      </c>
      <c r="AA128" s="110"/>
      <c r="AB128" s="119"/>
      <c r="AC128" s="119"/>
      <c r="AD128" s="123"/>
      <c r="AE128" s="123"/>
      <c r="AF128" s="114"/>
      <c r="AG128" s="124"/>
    </row>
    <row r="129" spans="3:50" x14ac:dyDescent="0.25">
      <c r="C129" s="96">
        <v>33</v>
      </c>
      <c r="D129" s="98">
        <f t="shared" si="7"/>
        <v>0</v>
      </c>
      <c r="E129" s="98">
        <f t="shared" ref="E129:E167" si="11">$C129*$E$17</f>
        <v>1107.0262500000001</v>
      </c>
      <c r="F129" s="98">
        <f t="shared" si="9"/>
        <v>0</v>
      </c>
      <c r="G129" s="99">
        <f t="shared" si="10"/>
        <v>77.686487999999997</v>
      </c>
      <c r="H129" s="97">
        <f t="shared" si="6"/>
        <v>18.55</v>
      </c>
      <c r="J129" s="97"/>
      <c r="K129" s="100"/>
      <c r="L129" s="100"/>
      <c r="Q129" s="113"/>
      <c r="AR129" s="118"/>
      <c r="AS129" s="118"/>
      <c r="AT129" s="118"/>
      <c r="AU129" s="118"/>
      <c r="AV129" s="118"/>
      <c r="AW129" s="118"/>
      <c r="AX129" s="118"/>
    </row>
    <row r="130" spans="3:50" x14ac:dyDescent="0.25">
      <c r="C130" s="96">
        <v>34</v>
      </c>
      <c r="D130" s="98">
        <f t="shared" si="7"/>
        <v>0</v>
      </c>
      <c r="E130" s="98">
        <f t="shared" si="11"/>
        <v>1140.5725</v>
      </c>
      <c r="F130" s="98">
        <f t="shared" si="9"/>
        <v>0</v>
      </c>
      <c r="G130" s="99">
        <f t="shared" si="10"/>
        <v>80.040623999999994</v>
      </c>
      <c r="H130" s="97">
        <f t="shared" si="6"/>
        <v>19.079999999999998</v>
      </c>
      <c r="J130" s="97"/>
      <c r="K130" s="100"/>
      <c r="L130" s="100"/>
      <c r="P130" s="184" t="s">
        <v>92</v>
      </c>
      <c r="Q130" s="113" t="s">
        <v>107</v>
      </c>
      <c r="R130" s="18">
        <f>IF((M24+M28+M32+M36)&gt;Inverter!D8,1,0)</f>
        <v>0</v>
      </c>
      <c r="AS130" s="118"/>
      <c r="AT130" s="118"/>
      <c r="AU130" s="118"/>
      <c r="AV130" s="118"/>
      <c r="AW130" s="118"/>
      <c r="AX130" s="118"/>
    </row>
    <row r="131" spans="3:50" x14ac:dyDescent="0.25">
      <c r="C131" s="96">
        <v>35</v>
      </c>
      <c r="D131" s="98">
        <f t="shared" si="7"/>
        <v>0</v>
      </c>
      <c r="E131" s="98">
        <f t="shared" si="11"/>
        <v>1174.1187500000001</v>
      </c>
      <c r="F131" s="98">
        <f t="shared" si="9"/>
        <v>0</v>
      </c>
      <c r="G131" s="99">
        <f t="shared" si="10"/>
        <v>82.394760000000005</v>
      </c>
      <c r="H131" s="97">
        <f t="shared" si="6"/>
        <v>19.61</v>
      </c>
      <c r="J131" s="97"/>
      <c r="K131" s="100"/>
      <c r="L131" s="100"/>
      <c r="Q131" s="113" t="s">
        <v>104</v>
      </c>
      <c r="R131" s="18">
        <f>IF((M24+M28+M32+M36)&gt;Inverter!F8,1,0)</f>
        <v>0</v>
      </c>
    </row>
    <row r="132" spans="3:50" x14ac:dyDescent="0.25">
      <c r="C132" s="96">
        <v>36</v>
      </c>
      <c r="D132" s="98">
        <f t="shared" si="7"/>
        <v>0</v>
      </c>
      <c r="E132" s="98">
        <f t="shared" si="11"/>
        <v>1207.665</v>
      </c>
      <c r="F132" s="98">
        <f t="shared" si="9"/>
        <v>0</v>
      </c>
      <c r="G132" s="99">
        <f t="shared" si="10"/>
        <v>84.748896000000002</v>
      </c>
      <c r="H132" s="97">
        <f t="shared" si="6"/>
        <v>20.14</v>
      </c>
      <c r="J132" s="97"/>
      <c r="K132" s="100"/>
      <c r="L132" s="100"/>
      <c r="Q132" s="113"/>
    </row>
    <row r="133" spans="3:50" x14ac:dyDescent="0.25">
      <c r="C133" s="96">
        <v>37</v>
      </c>
      <c r="D133" s="98">
        <f t="shared" si="7"/>
        <v>0</v>
      </c>
      <c r="E133" s="98">
        <f t="shared" si="11"/>
        <v>1241.2112500000001</v>
      </c>
      <c r="F133" s="98">
        <f t="shared" si="9"/>
        <v>0</v>
      </c>
      <c r="G133" s="99">
        <f t="shared" si="10"/>
        <v>87.103031999999999</v>
      </c>
      <c r="H133" s="97">
        <f t="shared" si="6"/>
        <v>20.67</v>
      </c>
      <c r="J133" s="97"/>
      <c r="K133" s="100"/>
      <c r="L133" s="100"/>
      <c r="AR133" s="118"/>
    </row>
    <row r="134" spans="3:50" x14ac:dyDescent="0.25">
      <c r="C134" s="96">
        <v>38</v>
      </c>
      <c r="D134" s="98">
        <f t="shared" si="7"/>
        <v>0</v>
      </c>
      <c r="E134" s="98">
        <f t="shared" si="11"/>
        <v>1274.7574999999999</v>
      </c>
      <c r="F134" s="98">
        <f t="shared" si="9"/>
        <v>0</v>
      </c>
      <c r="G134" s="99">
        <f t="shared" si="10"/>
        <v>89.457167999999996</v>
      </c>
      <c r="H134" s="97">
        <f t="shared" si="6"/>
        <v>21.2</v>
      </c>
      <c r="J134" s="97"/>
      <c r="K134" s="100"/>
      <c r="L134" s="100"/>
      <c r="R134" s="163" t="s">
        <v>126</v>
      </c>
    </row>
    <row r="135" spans="3:50" x14ac:dyDescent="0.25">
      <c r="C135" s="96">
        <v>39</v>
      </c>
      <c r="D135" s="98">
        <f t="shared" si="7"/>
        <v>0</v>
      </c>
      <c r="E135" s="98">
        <f t="shared" si="11"/>
        <v>1308.30375</v>
      </c>
      <c r="F135" s="98">
        <f t="shared" si="9"/>
        <v>0</v>
      </c>
      <c r="G135" s="99">
        <f t="shared" si="10"/>
        <v>91.811304000000007</v>
      </c>
      <c r="H135" s="97">
        <f t="shared" si="6"/>
        <v>21.73</v>
      </c>
      <c r="J135" s="97"/>
      <c r="K135" s="100"/>
      <c r="L135" s="100"/>
      <c r="R135" s="163" t="s">
        <v>83</v>
      </c>
    </row>
    <row r="136" spans="3:50" x14ac:dyDescent="0.25">
      <c r="C136" s="96">
        <v>40</v>
      </c>
      <c r="D136" s="98">
        <f t="shared" si="7"/>
        <v>0</v>
      </c>
      <c r="E136" s="98">
        <f t="shared" si="11"/>
        <v>1341.85</v>
      </c>
      <c r="F136" s="98">
        <f t="shared" si="9"/>
        <v>0</v>
      </c>
      <c r="G136" s="99">
        <f t="shared" si="10"/>
        <v>94.165440000000004</v>
      </c>
      <c r="H136" s="97">
        <f t="shared" si="6"/>
        <v>22.26</v>
      </c>
      <c r="J136" s="97"/>
      <c r="K136" s="100"/>
      <c r="L136" s="100"/>
      <c r="R136" s="163" t="s">
        <v>84</v>
      </c>
      <c r="Z136" s="125"/>
      <c r="AA136" s="125"/>
      <c r="AB136" s="125"/>
      <c r="AC136" s="110"/>
      <c r="AD136" s="126"/>
      <c r="AE136" s="126"/>
      <c r="AF136" s="114"/>
      <c r="AG136" s="114"/>
      <c r="AH136" s="114"/>
    </row>
    <row r="137" spans="3:50" x14ac:dyDescent="0.25">
      <c r="C137" s="96">
        <v>41</v>
      </c>
      <c r="D137" s="98">
        <f t="shared" si="7"/>
        <v>0</v>
      </c>
      <c r="E137" s="98">
        <f t="shared" si="11"/>
        <v>1375.39625</v>
      </c>
      <c r="F137" s="98">
        <f t="shared" si="9"/>
        <v>0</v>
      </c>
      <c r="G137" s="99">
        <f t="shared" si="10"/>
        <v>96.519576000000001</v>
      </c>
      <c r="H137" s="97">
        <f t="shared" si="6"/>
        <v>22.79</v>
      </c>
      <c r="J137" s="97"/>
      <c r="K137" s="100"/>
      <c r="L137" s="100"/>
      <c r="R137" s="163" t="s">
        <v>86</v>
      </c>
    </row>
    <row r="138" spans="3:50" x14ac:dyDescent="0.25">
      <c r="C138" s="96">
        <v>42</v>
      </c>
      <c r="D138" s="98">
        <f t="shared" si="7"/>
        <v>0</v>
      </c>
      <c r="E138" s="98">
        <f t="shared" si="11"/>
        <v>1408.9425000000001</v>
      </c>
      <c r="F138" s="98">
        <f t="shared" si="9"/>
        <v>0</v>
      </c>
      <c r="G138" s="99">
        <f t="shared" si="10"/>
        <v>98.873711999999998</v>
      </c>
      <c r="H138" s="97">
        <f t="shared" si="6"/>
        <v>23.32</v>
      </c>
      <c r="J138" s="97"/>
      <c r="K138" s="100"/>
      <c r="L138" s="100"/>
      <c r="R138" s="163" t="s">
        <v>85</v>
      </c>
    </row>
    <row r="139" spans="3:50" x14ac:dyDescent="0.25">
      <c r="C139" s="96">
        <v>43</v>
      </c>
      <c r="D139" s="98">
        <f t="shared" si="7"/>
        <v>0</v>
      </c>
      <c r="E139" s="98">
        <f t="shared" si="11"/>
        <v>1442.48875</v>
      </c>
      <c r="F139" s="98">
        <f t="shared" si="9"/>
        <v>0</v>
      </c>
      <c r="G139" s="99">
        <f t="shared" si="10"/>
        <v>101.22784799999999</v>
      </c>
      <c r="H139" s="97">
        <f t="shared" si="6"/>
        <v>23.85</v>
      </c>
      <c r="J139" s="97"/>
      <c r="K139" s="100"/>
      <c r="L139" s="100"/>
      <c r="R139" s="163" t="s">
        <v>127</v>
      </c>
      <c r="AR139" s="118"/>
      <c r="AS139" s="118"/>
      <c r="AT139" s="118"/>
      <c r="AU139" s="118"/>
    </row>
    <row r="140" spans="3:50" x14ac:dyDescent="0.25">
      <c r="C140" s="96">
        <v>44</v>
      </c>
      <c r="D140" s="98">
        <f t="shared" si="7"/>
        <v>0</v>
      </c>
      <c r="E140" s="98">
        <f t="shared" si="11"/>
        <v>1476.0350000000001</v>
      </c>
      <c r="F140" s="98">
        <f t="shared" si="9"/>
        <v>0</v>
      </c>
      <c r="G140" s="99">
        <f t="shared" si="10"/>
        <v>103.58198400000001</v>
      </c>
      <c r="H140" s="97">
        <f>$E$9*1*$C149/1000</f>
        <v>24.38</v>
      </c>
      <c r="J140" s="97"/>
      <c r="K140" s="100"/>
      <c r="L140" s="100"/>
      <c r="Q140" s="18" t="s">
        <v>113</v>
      </c>
      <c r="R140" s="163" t="str">
        <f>IF(OR(Q153=1,Q154=1),"- PV Spannungen unter 300V erhöhen den Lüftergeräuschpegel"&amp;CHAR(10),"")&amp;IF(R121=1,"- Gesamte AC Wechselrichterleistung ist auf 10kW limitiert (geschützter Bereich &amp; ungeschützter Bereich &amp; Netzeinspeisung)"&amp;CHAR(10),"")&amp;IF(OR(VLOOKUP(K24,C24:G50,5,FALSE)&lt;300,VLOOKUP(K24,C24:G50,5,FALSE)&lt;300),"- PV Spannungen unter 300V limitieren Impp des Wechselrichters auf 15A"&amp;CHAR(10),"")&amp;IF(R122=1,"- PV Leistung ist grösser als die PV-Wechselrichterleistung"&amp;CHAR(10),"")&amp;IF(OR(R100=1,R92=1),"- PV-Strom ist grösser als der maximale PV-Wechselrichterstrom"&amp;CHAR(10),"")</f>
        <v xml:space="preserve">- Gesamte AC Wechselrichterleistung ist auf 10kW limitiert (geschützter Bereich &amp; ungeschützter Bereich &amp; Netzeinspeisung)
- PV Leistung ist grösser als die PV-Wechselrichterleistung
</v>
      </c>
      <c r="AR140" s="118"/>
      <c r="AS140" s="118"/>
      <c r="AT140" s="118"/>
      <c r="AU140" s="118"/>
    </row>
    <row r="141" spans="3:50" x14ac:dyDescent="0.25">
      <c r="C141" s="96">
        <v>45</v>
      </c>
      <c r="D141" s="98">
        <f t="shared" si="7"/>
        <v>0</v>
      </c>
      <c r="E141" s="98">
        <f t="shared" si="11"/>
        <v>1509.58125</v>
      </c>
      <c r="F141" s="98">
        <f t="shared" si="9"/>
        <v>0</v>
      </c>
      <c r="G141" s="99">
        <f t="shared" si="10"/>
        <v>105.93612</v>
      </c>
      <c r="H141" s="97">
        <f>$E$9*1*$C150/1000</f>
        <v>24.91</v>
      </c>
      <c r="J141" s="97"/>
      <c r="K141" s="100"/>
      <c r="L141" s="100"/>
      <c r="O141" s="101"/>
      <c r="Q141" s="18" t="s">
        <v>114</v>
      </c>
      <c r="R141" s="163" t="str">
        <f>IF(OR(Q153=1,Q154=1),"- PV voltages below 300V increases the fan noise level"&amp;CHAR(10),"")&amp;IF(R121=1,"- Total AC inverter power is limited to 10kW"&amp;CHAR(10)&amp;"(protected loads &amp; unprotected loads &amp; grid-injection)"&amp;CHAR(10),"")&amp;IF(OR(VLOOKUP(K24,C24:G50,5,FALSE)&lt;300,VLOOKUP(K24,C24:G50,5,FALSE)&lt;300),"- PV voltage below 300V limits the Inverters Impp to 15"&amp;CHAR(10),"")&amp;IF(R122=1,"- PV power is bigger than maximum inverter PV power"&amp;CHAR(10),"")&amp;IF(OR(R100=1,R92=1),"- PV current is bigger than maximum PV inverter current"&amp;CHAR(10),"")</f>
        <v xml:space="preserve">- Total AC inverter power is limited to 10kW
(protected loads &amp; unprotected loads &amp; grid-injection)
- PV power is bigger than maximum inverter PV power
</v>
      </c>
      <c r="S141" s="101"/>
    </row>
    <row r="142" spans="3:50" x14ac:dyDescent="0.25">
      <c r="C142" s="96"/>
      <c r="D142" s="98"/>
      <c r="E142" s="98"/>
      <c r="F142" s="98"/>
      <c r="G142" s="99"/>
      <c r="H142" s="97"/>
      <c r="J142" s="97"/>
      <c r="K142" s="100"/>
      <c r="L142" s="100"/>
      <c r="O142" s="101"/>
      <c r="Q142" s="18" t="s">
        <v>115</v>
      </c>
      <c r="R142" s="163" t="str">
        <f>IF(AND(Q150=1,R124=1),"- Gesamte AC Wechselrichterleistung ist auf 10kW limitiert (geschützter Bereich &amp; ungeschützter Bereich &amp; Netzeinspeisung)"&amp;CHAR(10),"")&amp;IF(R125=1,"- PV Leistung ist grösser als die PV-Wechselrichterleistung"&amp;CHAR(10),"")&amp;IF(OR(R100=1,R92=1),"- PV-Strom ist grösser als der maximale PV-Wechselrichterstrom"&amp;CHAR(10),"")</f>
        <v xml:space="preserve">- PV Leistung ist grösser als die PV-Wechselrichterleistung
</v>
      </c>
      <c r="S142" s="101"/>
    </row>
    <row r="143" spans="3:50" x14ac:dyDescent="0.25">
      <c r="C143" s="96"/>
      <c r="D143" s="98"/>
      <c r="E143" s="98"/>
      <c r="F143" s="98"/>
      <c r="G143" s="99"/>
      <c r="H143" s="97"/>
      <c r="J143" s="97"/>
      <c r="K143" s="100"/>
      <c r="L143" s="100"/>
      <c r="O143" s="101"/>
      <c r="Q143" s="18" t="s">
        <v>116</v>
      </c>
      <c r="R143" s="163" t="str">
        <f>IF(AND(Q150=1,R124=1),"- Total AC inverter power is limited to 10kW"&amp;CHAR(10)&amp;"(protected loads &amp; unprotected loads &amp; grid-injection)"&amp;CHAR(10),"")&amp;IF(R125=1,"- PV power is bigger than maximum inverter PV power"&amp;CHAR(10),"")&amp;IF(OR(R100=1,R92=1),"- PV current is bigger than maximum PV inverter current"&amp;CHAR(10),"")</f>
        <v xml:space="preserve">- PV power is bigger than maximum inverter PV power
</v>
      </c>
      <c r="S143" s="101"/>
    </row>
    <row r="144" spans="3:50" x14ac:dyDescent="0.25">
      <c r="C144" s="96"/>
      <c r="D144" s="98"/>
      <c r="E144" s="98"/>
      <c r="F144" s="98"/>
      <c r="G144" s="99"/>
      <c r="H144" s="97"/>
      <c r="J144" s="97"/>
      <c r="K144" s="100"/>
      <c r="L144" s="100"/>
      <c r="O144" s="101"/>
      <c r="Q144" s="18" t="s">
        <v>117</v>
      </c>
      <c r="R144" s="163" t="str">
        <f>IF(AND(Q151=1,R127=1),"- Gesamte AC Wechselrichterleistung ist auf 20kW limitiert (geschützter Bereich &amp; ungeschützter Bereich &amp; Netzeinspeisung)"&amp;CHAR(10),"")&amp;IF(R128=1,"- PV Leistung ist grösser als die PV-Wechselrichterleistung"&amp;CHAR(10),"")&amp;IF(OR(R100=1,R92=1),"- PV-Strom ist grösser als der maximale PV-Wechselrichterstrom"&amp;CHAR(10),"")</f>
        <v/>
      </c>
      <c r="S144" s="101"/>
    </row>
    <row r="145" spans="3:34" x14ac:dyDescent="0.25">
      <c r="C145" s="96"/>
      <c r="D145" s="98"/>
      <c r="E145" s="98"/>
      <c r="F145" s="98"/>
      <c r="G145" s="99"/>
      <c r="H145" s="97"/>
      <c r="J145" s="97"/>
      <c r="K145" s="100"/>
      <c r="L145" s="100"/>
      <c r="O145" s="101"/>
      <c r="Q145" s="18" t="s">
        <v>118</v>
      </c>
      <c r="R145" s="163" t="str">
        <f>IF(AND(Q151=1,R127=1),"- Total AC inverter power is limited to 20kW"&amp;CHAR(10)&amp;"(protected loads &amp; unprotected loads &amp; grid-injection)"&amp;CHAR(10),"")&amp;IF(R128=1,"- PV power is bigger than maximum inverter PV power"&amp;CHAR(10),"")&amp;IF(OR(R100=1,R92=1),"- PV current is bigger than maximum PV inverter current"&amp;CHAR(10),"")</f>
        <v/>
      </c>
      <c r="S145" s="101"/>
    </row>
    <row r="146" spans="3:34" x14ac:dyDescent="0.25">
      <c r="C146" s="96"/>
      <c r="D146" s="98"/>
      <c r="E146" s="98"/>
      <c r="F146" s="98"/>
      <c r="G146" s="99"/>
      <c r="H146" s="97"/>
      <c r="J146" s="97"/>
      <c r="K146" s="100"/>
      <c r="L146" s="100"/>
      <c r="O146" s="101"/>
      <c r="Q146" s="18" t="s">
        <v>119</v>
      </c>
      <c r="R146" s="163" t="str">
        <f>IF(AND(Q152=1,R130=1),"- Gesamte AC Wechselrichterleistung ist auf 30kW limitiert (geschützter Bereich &amp; ungeschützter Bereich &amp; Netzeinspeisung)"&amp;CHAR(10),"")&amp;IF(R131=1,"- PV Leistung ist grösser als die PV-Wechselrichterleistung"&amp;CHAR(10),"")&amp;IF(OR(R100=1,R92=1,R108=1,R116=1),"- PV-Strom ist grösser als der maximale PV-Wechselrichterstrom"&amp;CHAR(10),"")</f>
        <v/>
      </c>
      <c r="S146" s="101"/>
    </row>
    <row r="147" spans="3:34" x14ac:dyDescent="0.25">
      <c r="C147" s="96"/>
      <c r="D147" s="98"/>
      <c r="E147" s="98"/>
      <c r="F147" s="98"/>
      <c r="G147" s="99"/>
      <c r="H147" s="97"/>
      <c r="J147" s="97"/>
      <c r="K147" s="100"/>
      <c r="L147" s="100"/>
      <c r="O147" s="101"/>
      <c r="Q147" s="18" t="s">
        <v>120</v>
      </c>
      <c r="R147" s="163" t="str">
        <f>IF(AND(Q152=1,R130=1),"- Total AC inverter power is limited to 30kW"&amp;CHAR(10)&amp;"(protected loads &amp; unprotected loads &amp; grid-injection)"&amp;CHAR(10),"")&amp;IF(R131=1,"- PV power is bigger than maximum inverter PV power"&amp;CHAR(10),"")&amp;IF(OR(R100=1,R92=1),"- PV current is bigger than maximum PV inverter current"&amp;CHAR(10),"")</f>
        <v/>
      </c>
      <c r="S147" s="101"/>
    </row>
    <row r="148" spans="3:34" x14ac:dyDescent="0.25">
      <c r="C148" s="96"/>
      <c r="D148" s="98"/>
      <c r="E148" s="98"/>
      <c r="F148" s="98"/>
      <c r="G148" s="99"/>
      <c r="H148" s="97"/>
      <c r="J148" s="97"/>
      <c r="K148" s="100"/>
      <c r="L148" s="100"/>
      <c r="O148" s="101"/>
      <c r="R148" s="163"/>
      <c r="S148" s="101"/>
    </row>
    <row r="149" spans="3:34" x14ac:dyDescent="0.25">
      <c r="C149" s="96">
        <v>46</v>
      </c>
      <c r="D149" s="98">
        <f t="shared" si="7"/>
        <v>0</v>
      </c>
      <c r="E149" s="98">
        <f t="shared" si="11"/>
        <v>1543.1275000000001</v>
      </c>
      <c r="F149" s="98">
        <f t="shared" si="9"/>
        <v>0</v>
      </c>
      <c r="G149" s="99">
        <f t="shared" si="10"/>
        <v>108.290256</v>
      </c>
      <c r="H149" s="97">
        <f t="shared" si="6"/>
        <v>25.44</v>
      </c>
      <c r="J149" s="97"/>
      <c r="K149" s="100"/>
      <c r="L149" s="100"/>
      <c r="O149" s="101"/>
      <c r="P149" s="184" t="s">
        <v>124</v>
      </c>
      <c r="S149" s="101"/>
      <c r="Z149" s="125"/>
      <c r="AA149" s="125"/>
      <c r="AB149" s="125"/>
      <c r="AC149" s="110"/>
      <c r="AD149" s="126"/>
      <c r="AE149" s="126"/>
      <c r="AF149" s="114"/>
      <c r="AG149" s="114"/>
      <c r="AH149" s="114"/>
    </row>
    <row r="150" spans="3:34" x14ac:dyDescent="0.25">
      <c r="C150" s="96">
        <v>47</v>
      </c>
      <c r="D150" s="97">
        <f t="shared" si="7"/>
        <v>0</v>
      </c>
      <c r="E150" s="97">
        <f t="shared" si="11"/>
        <v>1576.6737499999999</v>
      </c>
      <c r="F150" s="97">
        <f t="shared" si="9"/>
        <v>0</v>
      </c>
      <c r="G150" s="99">
        <f t="shared" si="10"/>
        <v>110.644392</v>
      </c>
      <c r="H150" s="97">
        <f t="shared" si="6"/>
        <v>25.97</v>
      </c>
      <c r="J150" s="97"/>
      <c r="K150" s="100"/>
      <c r="L150" s="100"/>
      <c r="O150" s="101"/>
      <c r="P150" s="163" t="s">
        <v>108</v>
      </c>
      <c r="Q150" s="18">
        <f>IF($C$13=Inverter!B6,1,0)</f>
        <v>0</v>
      </c>
      <c r="S150" s="101"/>
    </row>
    <row r="151" spans="3:34" x14ac:dyDescent="0.25">
      <c r="C151" s="96">
        <v>48</v>
      </c>
      <c r="D151" s="97">
        <f t="shared" si="7"/>
        <v>0</v>
      </c>
      <c r="E151" s="97">
        <f t="shared" si="11"/>
        <v>1610.22</v>
      </c>
      <c r="F151" s="97">
        <f t="shared" si="9"/>
        <v>0</v>
      </c>
      <c r="G151" s="99">
        <f t="shared" si="10"/>
        <v>112.99852799999999</v>
      </c>
      <c r="H151" s="97">
        <f t="shared" si="6"/>
        <v>26.5</v>
      </c>
      <c r="J151" s="97"/>
      <c r="K151" s="100"/>
      <c r="L151" s="100"/>
      <c r="O151" s="101"/>
      <c r="P151" s="163" t="s">
        <v>109</v>
      </c>
      <c r="Q151" s="18">
        <f>IF($C$13=Inverter!B7,1,0)</f>
        <v>1</v>
      </c>
      <c r="S151" s="101"/>
    </row>
    <row r="152" spans="3:34" x14ac:dyDescent="0.25">
      <c r="C152" s="96">
        <v>49</v>
      </c>
      <c r="D152" s="97">
        <f t="shared" si="7"/>
        <v>0</v>
      </c>
      <c r="E152" s="97">
        <f t="shared" si="11"/>
        <v>1643.7662500000001</v>
      </c>
      <c r="F152" s="97">
        <f t="shared" si="9"/>
        <v>0</v>
      </c>
      <c r="G152" s="99">
        <f t="shared" si="10"/>
        <v>115.352664</v>
      </c>
      <c r="H152" s="97">
        <f t="shared" si="6"/>
        <v>27.03</v>
      </c>
      <c r="J152" s="97"/>
      <c r="K152" s="100"/>
      <c r="L152" s="100"/>
      <c r="P152" s="163" t="s">
        <v>110</v>
      </c>
      <c r="Q152" s="18">
        <f>IF($C$13=Inverter!B8,1,0)</f>
        <v>0</v>
      </c>
    </row>
    <row r="153" spans="3:34" x14ac:dyDescent="0.25">
      <c r="C153" s="96">
        <v>50</v>
      </c>
      <c r="D153" s="97">
        <f t="shared" si="7"/>
        <v>0</v>
      </c>
      <c r="E153" s="97">
        <f t="shared" si="11"/>
        <v>1677.3125</v>
      </c>
      <c r="F153" s="97">
        <f t="shared" si="9"/>
        <v>0</v>
      </c>
      <c r="G153" s="99">
        <f t="shared" si="10"/>
        <v>117.7068</v>
      </c>
      <c r="H153" s="97">
        <f t="shared" si="6"/>
        <v>27.56</v>
      </c>
      <c r="J153" s="97"/>
      <c r="K153" s="100"/>
      <c r="L153" s="100"/>
      <c r="P153" s="163" t="s">
        <v>111</v>
      </c>
      <c r="Q153" s="18">
        <f>IF($C$13=Inverter!B4,1,0)</f>
        <v>0</v>
      </c>
    </row>
    <row r="154" spans="3:34" x14ac:dyDescent="0.25">
      <c r="C154" s="96">
        <v>51</v>
      </c>
      <c r="D154" s="97">
        <f t="shared" si="7"/>
        <v>0</v>
      </c>
      <c r="E154" s="97">
        <f t="shared" si="11"/>
        <v>1710.8587500000001</v>
      </c>
      <c r="F154" s="97">
        <f t="shared" si="9"/>
        <v>0</v>
      </c>
      <c r="G154" s="99">
        <f t="shared" si="10"/>
        <v>120.060936</v>
      </c>
      <c r="H154" s="97">
        <f t="shared" si="6"/>
        <v>28.09</v>
      </c>
      <c r="J154" s="97"/>
      <c r="K154" s="100"/>
      <c r="L154" s="100"/>
      <c r="P154" s="163" t="s">
        <v>112</v>
      </c>
      <c r="Q154" s="18">
        <f>IF($C$13=Inverter!B5,1,0)</f>
        <v>0</v>
      </c>
    </row>
    <row r="155" spans="3:34" x14ac:dyDescent="0.25">
      <c r="C155" s="96">
        <v>52</v>
      </c>
      <c r="D155" s="97">
        <f t="shared" si="7"/>
        <v>0</v>
      </c>
      <c r="E155" s="97">
        <f t="shared" si="11"/>
        <v>1744.405</v>
      </c>
      <c r="F155" s="97">
        <f t="shared" si="9"/>
        <v>0</v>
      </c>
      <c r="G155" s="99">
        <f t="shared" si="10"/>
        <v>122.415072</v>
      </c>
      <c r="H155" s="97">
        <f t="shared" si="6"/>
        <v>28.62</v>
      </c>
      <c r="J155" s="97"/>
      <c r="K155" s="100"/>
      <c r="L155" s="100"/>
      <c r="P155" s="163"/>
    </row>
    <row r="156" spans="3:34" x14ac:dyDescent="0.25">
      <c r="C156" s="96">
        <v>53</v>
      </c>
      <c r="D156" s="97">
        <f t="shared" si="7"/>
        <v>0</v>
      </c>
      <c r="E156" s="97">
        <f t="shared" si="11"/>
        <v>1777.9512500000001</v>
      </c>
      <c r="F156" s="97">
        <f t="shared" si="9"/>
        <v>0</v>
      </c>
      <c r="G156" s="99">
        <f t="shared" si="10"/>
        <v>124.76920800000001</v>
      </c>
      <c r="H156" s="97">
        <f t="shared" si="6"/>
        <v>29.15</v>
      </c>
      <c r="J156" s="97"/>
      <c r="K156" s="100"/>
      <c r="L156" s="100"/>
      <c r="M156" s="101"/>
      <c r="N156" s="101"/>
      <c r="P156" s="163"/>
    </row>
    <row r="157" spans="3:34" x14ac:dyDescent="0.25">
      <c r="C157" s="96">
        <v>54</v>
      </c>
      <c r="D157" s="97">
        <f t="shared" si="7"/>
        <v>0</v>
      </c>
      <c r="E157" s="97">
        <f t="shared" si="11"/>
        <v>1811.4974999999999</v>
      </c>
      <c r="F157" s="97">
        <f t="shared" si="9"/>
        <v>0</v>
      </c>
      <c r="G157" s="99">
        <f t="shared" si="10"/>
        <v>127.123344</v>
      </c>
      <c r="H157" s="97">
        <f t="shared" si="6"/>
        <v>29.68</v>
      </c>
      <c r="J157" s="97"/>
      <c r="K157" s="100"/>
      <c r="L157" s="100"/>
      <c r="M157" s="101"/>
      <c r="N157" s="101"/>
    </row>
    <row r="158" spans="3:34" x14ac:dyDescent="0.25">
      <c r="C158" s="96">
        <v>55</v>
      </c>
      <c r="D158" s="97">
        <f t="shared" si="7"/>
        <v>0</v>
      </c>
      <c r="E158" s="97">
        <f t="shared" si="11"/>
        <v>1845.04375</v>
      </c>
      <c r="F158" s="97">
        <f t="shared" si="9"/>
        <v>0</v>
      </c>
      <c r="G158" s="99">
        <f t="shared" si="10"/>
        <v>129.47748000000001</v>
      </c>
      <c r="H158" s="97">
        <f t="shared" si="6"/>
        <v>30.21</v>
      </c>
      <c r="J158" s="97"/>
      <c r="K158" s="100"/>
      <c r="L158" s="100"/>
      <c r="M158" s="101"/>
      <c r="N158" s="101"/>
      <c r="P158" s="184" t="s">
        <v>121</v>
      </c>
    </row>
    <row r="159" spans="3:34" x14ac:dyDescent="0.25">
      <c r="C159" s="96">
        <v>56</v>
      </c>
      <c r="D159" s="97">
        <f t="shared" si="7"/>
        <v>0</v>
      </c>
      <c r="E159" s="97">
        <f t="shared" si="11"/>
        <v>1878.5900000000001</v>
      </c>
      <c r="F159" s="97">
        <f t="shared" si="9"/>
        <v>0</v>
      </c>
      <c r="G159" s="99">
        <f t="shared" si="10"/>
        <v>131.831616</v>
      </c>
      <c r="H159" s="97">
        <f t="shared" si="6"/>
        <v>30.74</v>
      </c>
      <c r="J159" s="97"/>
      <c r="K159" s="100"/>
      <c r="L159" s="100"/>
      <c r="M159" s="101"/>
      <c r="N159" s="101"/>
      <c r="P159" s="163" t="s">
        <v>122</v>
      </c>
      <c r="Q159" s="18">
        <f>IF(OR(AND(OR(Q153,Q154),R121=1),AND(Q150,R124=1),AND(Q151,R127=1),AND(Q152,R130)),1,0)</f>
        <v>0</v>
      </c>
    </row>
    <row r="160" spans="3:34" x14ac:dyDescent="0.25">
      <c r="C160" s="96">
        <v>57</v>
      </c>
      <c r="D160" s="97">
        <f t="shared" si="7"/>
        <v>0</v>
      </c>
      <c r="E160" s="97">
        <f t="shared" si="11"/>
        <v>1912.13625</v>
      </c>
      <c r="F160" s="97">
        <f t="shared" si="9"/>
        <v>0</v>
      </c>
      <c r="G160" s="99">
        <f t="shared" si="10"/>
        <v>134.18575200000001</v>
      </c>
      <c r="H160" s="97">
        <f t="shared" si="6"/>
        <v>31.27</v>
      </c>
      <c r="J160" s="97"/>
      <c r="K160" s="100"/>
      <c r="L160" s="100"/>
      <c r="P160" s="163"/>
    </row>
    <row r="161" spans="3:18" x14ac:dyDescent="0.25">
      <c r="C161" s="96">
        <v>58</v>
      </c>
      <c r="D161" s="97">
        <f t="shared" si="7"/>
        <v>0</v>
      </c>
      <c r="E161" s="97">
        <f t="shared" si="11"/>
        <v>1945.6825000000001</v>
      </c>
      <c r="F161" s="97">
        <f t="shared" si="9"/>
        <v>0</v>
      </c>
      <c r="G161" s="99">
        <f t="shared" si="10"/>
        <v>136.53988799999999</v>
      </c>
      <c r="H161" s="97">
        <f t="shared" si="6"/>
        <v>31.8</v>
      </c>
      <c r="J161" s="97"/>
      <c r="K161" s="100"/>
      <c r="L161" s="100"/>
      <c r="P161" s="183"/>
    </row>
    <row r="162" spans="3:18" x14ac:dyDescent="0.25">
      <c r="C162" s="96">
        <v>59</v>
      </c>
      <c r="D162" s="97">
        <f t="shared" si="7"/>
        <v>0</v>
      </c>
      <c r="E162" s="97">
        <f t="shared" si="11"/>
        <v>1979.22875</v>
      </c>
      <c r="F162" s="97">
        <f t="shared" si="9"/>
        <v>0</v>
      </c>
      <c r="G162" s="99">
        <f t="shared" si="10"/>
        <v>138.894024</v>
      </c>
      <c r="H162" s="97">
        <f t="shared" si="6"/>
        <v>32.33</v>
      </c>
      <c r="J162" s="97"/>
      <c r="K162" s="100"/>
      <c r="L162" s="100"/>
      <c r="P162" s="163"/>
    </row>
    <row r="163" spans="3:18" x14ac:dyDescent="0.25">
      <c r="C163" s="96">
        <v>60</v>
      </c>
      <c r="D163" s="97">
        <f t="shared" si="7"/>
        <v>0</v>
      </c>
      <c r="E163" s="97">
        <f t="shared" si="11"/>
        <v>2012.7750000000001</v>
      </c>
      <c r="F163" s="97">
        <f t="shared" si="9"/>
        <v>0</v>
      </c>
      <c r="G163" s="99">
        <f t="shared" si="10"/>
        <v>141.24816000000001</v>
      </c>
      <c r="H163" s="97">
        <f t="shared" si="6"/>
        <v>32.86</v>
      </c>
      <c r="J163" s="97"/>
      <c r="K163" s="100"/>
      <c r="L163" s="100"/>
      <c r="P163" s="163"/>
    </row>
    <row r="164" spans="3:18" x14ac:dyDescent="0.25">
      <c r="C164" s="96">
        <v>61</v>
      </c>
      <c r="D164" s="97">
        <f t="shared" si="7"/>
        <v>0</v>
      </c>
      <c r="E164" s="97">
        <f t="shared" si="11"/>
        <v>2046.32125</v>
      </c>
      <c r="F164" s="97">
        <f t="shared" si="9"/>
        <v>0</v>
      </c>
      <c r="G164" s="99">
        <f t="shared" si="10"/>
        <v>143.602296</v>
      </c>
      <c r="H164" s="97">
        <f t="shared" ref="H164:H195" si="12">$E$9*1*$C166/1000</f>
        <v>33.39</v>
      </c>
      <c r="J164" s="97"/>
      <c r="K164" s="100"/>
      <c r="L164" s="100"/>
      <c r="P164" s="163"/>
    </row>
    <row r="165" spans="3:18" x14ac:dyDescent="0.25">
      <c r="C165" s="96">
        <v>62</v>
      </c>
      <c r="D165" s="97">
        <f t="shared" si="7"/>
        <v>0</v>
      </c>
      <c r="E165" s="97">
        <f t="shared" si="11"/>
        <v>2079.8674999999998</v>
      </c>
      <c r="F165" s="97">
        <f t="shared" si="9"/>
        <v>0</v>
      </c>
      <c r="G165" s="99">
        <f t="shared" si="10"/>
        <v>145.95643200000001</v>
      </c>
      <c r="H165" s="97">
        <f t="shared" si="12"/>
        <v>33.92</v>
      </c>
      <c r="J165" s="97"/>
      <c r="K165" s="100"/>
      <c r="L165" s="100"/>
      <c r="P165" s="163"/>
    </row>
    <row r="166" spans="3:18" x14ac:dyDescent="0.25">
      <c r="C166" s="96">
        <v>63</v>
      </c>
      <c r="D166" s="97">
        <f t="shared" ref="D166:D197" si="13">C166*$D$19</f>
        <v>0</v>
      </c>
      <c r="E166" s="97">
        <f t="shared" si="11"/>
        <v>2113.4137500000002</v>
      </c>
      <c r="F166" s="97">
        <f t="shared" ref="F166:F197" si="14">$C166*$E$19</f>
        <v>0</v>
      </c>
      <c r="G166" s="99">
        <f t="shared" ref="G166:G197" si="15">$N$9*1*$C166</f>
        <v>148.31056799999999</v>
      </c>
      <c r="H166" s="97">
        <f t="shared" si="12"/>
        <v>34.450000000000003</v>
      </c>
      <c r="J166" s="97"/>
      <c r="K166" s="100"/>
      <c r="L166" s="100"/>
      <c r="P166" s="163"/>
    </row>
    <row r="167" spans="3:18" x14ac:dyDescent="0.25">
      <c r="C167" s="96">
        <v>64</v>
      </c>
      <c r="D167" s="97">
        <f t="shared" si="13"/>
        <v>0</v>
      </c>
      <c r="E167" s="97">
        <f t="shared" si="11"/>
        <v>2146.96</v>
      </c>
      <c r="F167" s="97">
        <f t="shared" si="14"/>
        <v>0</v>
      </c>
      <c r="G167" s="99">
        <f t="shared" si="15"/>
        <v>150.664704</v>
      </c>
      <c r="H167" s="97">
        <f t="shared" si="12"/>
        <v>34.979999999999997</v>
      </c>
      <c r="J167" s="97"/>
      <c r="K167" s="100"/>
      <c r="L167" s="100"/>
    </row>
    <row r="168" spans="3:18" x14ac:dyDescent="0.25">
      <c r="C168" s="96">
        <v>65</v>
      </c>
      <c r="D168" s="97">
        <f t="shared" si="13"/>
        <v>0</v>
      </c>
      <c r="E168" s="97">
        <f t="shared" ref="E168:E203" si="16">$C168*$E$17</f>
        <v>2180.5062499999999</v>
      </c>
      <c r="F168" s="97">
        <f t="shared" si="14"/>
        <v>0</v>
      </c>
      <c r="G168" s="99">
        <f t="shared" si="15"/>
        <v>153.01884000000001</v>
      </c>
      <c r="H168" s="97">
        <f t="shared" si="12"/>
        <v>35.51</v>
      </c>
      <c r="J168" s="97"/>
      <c r="K168" s="100"/>
      <c r="L168" s="100"/>
    </row>
    <row r="169" spans="3:18" x14ac:dyDescent="0.25">
      <c r="C169" s="96">
        <v>66</v>
      </c>
      <c r="D169" s="97">
        <f t="shared" si="13"/>
        <v>0</v>
      </c>
      <c r="E169" s="97">
        <f t="shared" si="16"/>
        <v>2214.0525000000002</v>
      </c>
      <c r="F169" s="97">
        <f t="shared" si="14"/>
        <v>0</v>
      </c>
      <c r="G169" s="99">
        <f t="shared" si="15"/>
        <v>155.37297599999999</v>
      </c>
      <c r="H169" s="97">
        <f t="shared" si="12"/>
        <v>36.04</v>
      </c>
      <c r="J169" s="97"/>
      <c r="K169" s="100"/>
      <c r="L169" s="100"/>
    </row>
    <row r="170" spans="3:18" x14ac:dyDescent="0.25">
      <c r="C170" s="96">
        <v>67</v>
      </c>
      <c r="D170" s="97">
        <f t="shared" si="13"/>
        <v>0</v>
      </c>
      <c r="E170" s="97">
        <f t="shared" si="16"/>
        <v>2247.5987500000001</v>
      </c>
      <c r="F170" s="97">
        <f t="shared" si="14"/>
        <v>0</v>
      </c>
      <c r="G170" s="99">
        <f t="shared" si="15"/>
        <v>157.72711200000001</v>
      </c>
      <c r="H170" s="97">
        <f t="shared" si="12"/>
        <v>36.57</v>
      </c>
      <c r="J170" s="97"/>
      <c r="K170" s="100"/>
      <c r="L170" s="100"/>
    </row>
    <row r="171" spans="3:18" x14ac:dyDescent="0.25">
      <c r="C171" s="96">
        <v>68</v>
      </c>
      <c r="D171" s="97">
        <f t="shared" si="13"/>
        <v>0</v>
      </c>
      <c r="E171" s="97">
        <f t="shared" si="16"/>
        <v>2281.145</v>
      </c>
      <c r="F171" s="97">
        <f t="shared" si="14"/>
        <v>0</v>
      </c>
      <c r="G171" s="99">
        <f t="shared" si="15"/>
        <v>160.08124799999999</v>
      </c>
      <c r="H171" s="97">
        <f t="shared" si="12"/>
        <v>37.1</v>
      </c>
      <c r="J171" s="97"/>
      <c r="K171" s="100"/>
      <c r="L171" s="100"/>
    </row>
    <row r="172" spans="3:18" x14ac:dyDescent="0.25">
      <c r="C172" s="96">
        <v>69</v>
      </c>
      <c r="D172" s="97">
        <f t="shared" si="13"/>
        <v>0</v>
      </c>
      <c r="E172" s="97">
        <f t="shared" si="16"/>
        <v>2314.6912499999999</v>
      </c>
      <c r="F172" s="97">
        <f t="shared" si="14"/>
        <v>0</v>
      </c>
      <c r="G172" s="99">
        <f t="shared" si="15"/>
        <v>162.435384</v>
      </c>
      <c r="H172" s="97">
        <f t="shared" si="12"/>
        <v>37.630000000000003</v>
      </c>
      <c r="J172" s="97"/>
      <c r="K172" s="100"/>
      <c r="L172" s="100"/>
    </row>
    <row r="173" spans="3:18" x14ac:dyDescent="0.25">
      <c r="C173" s="96">
        <v>70</v>
      </c>
      <c r="D173" s="97">
        <f t="shared" si="13"/>
        <v>0</v>
      </c>
      <c r="E173" s="97">
        <f t="shared" si="16"/>
        <v>2348.2375000000002</v>
      </c>
      <c r="F173" s="97">
        <f t="shared" si="14"/>
        <v>0</v>
      </c>
      <c r="G173" s="99">
        <f t="shared" si="15"/>
        <v>164.78952000000001</v>
      </c>
      <c r="H173" s="97">
        <f t="shared" si="12"/>
        <v>38.159999999999997</v>
      </c>
      <c r="J173" s="97"/>
      <c r="K173" s="100"/>
      <c r="L173" s="100"/>
    </row>
    <row r="174" spans="3:18" x14ac:dyDescent="0.25">
      <c r="C174" s="96">
        <v>71</v>
      </c>
      <c r="D174" s="97">
        <f t="shared" si="13"/>
        <v>0</v>
      </c>
      <c r="E174" s="97">
        <f t="shared" si="16"/>
        <v>2381.7837500000001</v>
      </c>
      <c r="F174" s="97">
        <f t="shared" si="14"/>
        <v>0</v>
      </c>
      <c r="G174" s="99">
        <f t="shared" si="15"/>
        <v>167.14365599999999</v>
      </c>
      <c r="H174" s="97">
        <f t="shared" si="12"/>
        <v>38.69</v>
      </c>
      <c r="J174" s="97"/>
      <c r="K174" s="100"/>
      <c r="L174" s="100"/>
    </row>
    <row r="175" spans="3:18" x14ac:dyDescent="0.25">
      <c r="C175" s="96">
        <v>72</v>
      </c>
      <c r="D175" s="97">
        <f t="shared" si="13"/>
        <v>0</v>
      </c>
      <c r="E175" s="97">
        <f t="shared" si="16"/>
        <v>2415.33</v>
      </c>
      <c r="F175" s="97">
        <f t="shared" si="14"/>
        <v>0</v>
      </c>
      <c r="G175" s="99">
        <f t="shared" si="15"/>
        <v>169.497792</v>
      </c>
      <c r="H175" s="97">
        <f t="shared" si="12"/>
        <v>39.22</v>
      </c>
      <c r="J175" s="97"/>
      <c r="K175" s="100"/>
      <c r="L175" s="100"/>
      <c r="Q175" s="101"/>
      <c r="R175" s="101"/>
    </row>
    <row r="176" spans="3:18" x14ac:dyDescent="0.25">
      <c r="C176" s="96">
        <v>73</v>
      </c>
      <c r="D176" s="97">
        <f t="shared" si="13"/>
        <v>0</v>
      </c>
      <c r="E176" s="97">
        <f t="shared" si="16"/>
        <v>2448.8762500000003</v>
      </c>
      <c r="F176" s="97">
        <f t="shared" si="14"/>
        <v>0</v>
      </c>
      <c r="G176" s="99">
        <f t="shared" si="15"/>
        <v>171.85192799999999</v>
      </c>
      <c r="H176" s="97">
        <f t="shared" si="12"/>
        <v>39.75</v>
      </c>
      <c r="J176" s="97"/>
      <c r="K176" s="100"/>
      <c r="L176" s="100"/>
      <c r="Q176" s="101"/>
      <c r="R176" s="101"/>
    </row>
    <row r="177" spans="3:18" x14ac:dyDescent="0.25">
      <c r="C177" s="96">
        <v>74</v>
      </c>
      <c r="D177" s="97">
        <f t="shared" si="13"/>
        <v>0</v>
      </c>
      <c r="E177" s="97">
        <f t="shared" si="16"/>
        <v>2482.4225000000001</v>
      </c>
      <c r="F177" s="97">
        <f t="shared" si="14"/>
        <v>0</v>
      </c>
      <c r="G177" s="99">
        <f t="shared" si="15"/>
        <v>174.206064</v>
      </c>
      <c r="H177" s="97">
        <f t="shared" si="12"/>
        <v>40.28</v>
      </c>
      <c r="J177" s="97"/>
      <c r="K177" s="100"/>
      <c r="L177" s="100"/>
      <c r="Q177" s="101"/>
      <c r="R177" s="101"/>
    </row>
    <row r="178" spans="3:18" x14ac:dyDescent="0.25">
      <c r="C178" s="96">
        <v>75</v>
      </c>
      <c r="D178" s="97">
        <f t="shared" si="13"/>
        <v>0</v>
      </c>
      <c r="E178" s="97">
        <f t="shared" si="16"/>
        <v>2515.96875</v>
      </c>
      <c r="F178" s="97">
        <f t="shared" si="14"/>
        <v>0</v>
      </c>
      <c r="G178" s="99">
        <f t="shared" si="15"/>
        <v>176.56020000000001</v>
      </c>
      <c r="H178" s="97">
        <f t="shared" si="12"/>
        <v>40.81</v>
      </c>
      <c r="J178" s="97"/>
      <c r="K178" s="100"/>
      <c r="L178" s="100"/>
      <c r="Q178" s="101"/>
      <c r="R178" s="101"/>
    </row>
    <row r="179" spans="3:18" x14ac:dyDescent="0.25">
      <c r="C179" s="96">
        <v>76</v>
      </c>
      <c r="D179" s="97">
        <f t="shared" si="13"/>
        <v>0</v>
      </c>
      <c r="E179" s="97">
        <f t="shared" si="16"/>
        <v>2549.5149999999999</v>
      </c>
      <c r="F179" s="97">
        <f t="shared" si="14"/>
        <v>0</v>
      </c>
      <c r="G179" s="99">
        <f t="shared" si="15"/>
        <v>178.91433599999999</v>
      </c>
      <c r="H179" s="97">
        <f t="shared" si="12"/>
        <v>41.34</v>
      </c>
      <c r="J179" s="97"/>
      <c r="K179" s="100"/>
      <c r="L179" s="100"/>
    </row>
    <row r="180" spans="3:18" x14ac:dyDescent="0.25">
      <c r="C180" s="96">
        <v>77</v>
      </c>
      <c r="D180" s="97">
        <f t="shared" si="13"/>
        <v>0</v>
      </c>
      <c r="E180" s="97">
        <f t="shared" si="16"/>
        <v>2583.0612500000002</v>
      </c>
      <c r="F180" s="97">
        <f t="shared" si="14"/>
        <v>0</v>
      </c>
      <c r="G180" s="99">
        <f t="shared" si="15"/>
        <v>181.268472</v>
      </c>
      <c r="H180" s="97">
        <f t="shared" si="12"/>
        <v>41.87</v>
      </c>
      <c r="J180" s="97"/>
      <c r="K180" s="100"/>
      <c r="L180" s="100"/>
    </row>
    <row r="181" spans="3:18" x14ac:dyDescent="0.25">
      <c r="C181" s="96">
        <v>78</v>
      </c>
      <c r="D181" s="97">
        <f t="shared" si="13"/>
        <v>0</v>
      </c>
      <c r="E181" s="97">
        <f t="shared" si="16"/>
        <v>2616.6075000000001</v>
      </c>
      <c r="F181" s="97">
        <f t="shared" si="14"/>
        <v>0</v>
      </c>
      <c r="G181" s="99">
        <f t="shared" si="15"/>
        <v>183.62260800000001</v>
      </c>
      <c r="H181" s="97">
        <f t="shared" si="12"/>
        <v>42.4</v>
      </c>
      <c r="J181" s="97"/>
      <c r="K181" s="100"/>
      <c r="L181" s="100"/>
    </row>
    <row r="182" spans="3:18" x14ac:dyDescent="0.25">
      <c r="C182" s="96">
        <v>79</v>
      </c>
      <c r="D182" s="97">
        <f t="shared" si="13"/>
        <v>0</v>
      </c>
      <c r="E182" s="97">
        <f t="shared" si="16"/>
        <v>2650.1537499999999</v>
      </c>
      <c r="F182" s="97">
        <f t="shared" si="14"/>
        <v>0</v>
      </c>
      <c r="G182" s="99">
        <f t="shared" si="15"/>
        <v>185.976744</v>
      </c>
      <c r="H182" s="97">
        <f t="shared" si="12"/>
        <v>42.93</v>
      </c>
      <c r="J182" s="97"/>
      <c r="K182" s="100"/>
      <c r="L182" s="100"/>
    </row>
    <row r="183" spans="3:18" x14ac:dyDescent="0.25">
      <c r="C183" s="96">
        <v>80</v>
      </c>
      <c r="D183" s="97">
        <f t="shared" si="13"/>
        <v>0</v>
      </c>
      <c r="E183" s="97">
        <f t="shared" si="16"/>
        <v>2683.7</v>
      </c>
      <c r="F183" s="97">
        <f t="shared" si="14"/>
        <v>0</v>
      </c>
      <c r="G183" s="99">
        <f t="shared" si="15"/>
        <v>188.33088000000001</v>
      </c>
      <c r="H183" s="97">
        <f t="shared" si="12"/>
        <v>43.46</v>
      </c>
      <c r="J183" s="97"/>
      <c r="K183" s="100"/>
      <c r="L183" s="100"/>
    </row>
    <row r="184" spans="3:18" x14ac:dyDescent="0.25">
      <c r="C184" s="96">
        <v>81</v>
      </c>
      <c r="D184" s="97">
        <f t="shared" si="13"/>
        <v>0</v>
      </c>
      <c r="E184" s="97">
        <f t="shared" si="16"/>
        <v>2717.2462500000001</v>
      </c>
      <c r="F184" s="97">
        <f t="shared" si="14"/>
        <v>0</v>
      </c>
      <c r="G184" s="99">
        <f t="shared" si="15"/>
        <v>190.68501599999999</v>
      </c>
      <c r="H184" s="97">
        <f t="shared" si="12"/>
        <v>43.99</v>
      </c>
      <c r="J184" s="97"/>
      <c r="K184" s="100"/>
      <c r="L184" s="100"/>
    </row>
    <row r="185" spans="3:18" x14ac:dyDescent="0.25">
      <c r="C185" s="96">
        <v>82</v>
      </c>
      <c r="D185" s="97">
        <f t="shared" si="13"/>
        <v>0</v>
      </c>
      <c r="E185" s="97">
        <f t="shared" si="16"/>
        <v>2750.7925</v>
      </c>
      <c r="F185" s="97">
        <f t="shared" si="14"/>
        <v>0</v>
      </c>
      <c r="G185" s="99">
        <f t="shared" si="15"/>
        <v>193.039152</v>
      </c>
      <c r="H185" s="97">
        <f t="shared" si="12"/>
        <v>44.52</v>
      </c>
      <c r="J185" s="97"/>
      <c r="K185" s="100"/>
      <c r="L185" s="100"/>
    </row>
    <row r="186" spans="3:18" x14ac:dyDescent="0.25">
      <c r="C186" s="96">
        <v>83</v>
      </c>
      <c r="D186" s="97">
        <f t="shared" si="13"/>
        <v>0</v>
      </c>
      <c r="E186" s="97">
        <f t="shared" si="16"/>
        <v>2784.3387499999999</v>
      </c>
      <c r="F186" s="97">
        <f t="shared" si="14"/>
        <v>0</v>
      </c>
      <c r="G186" s="99">
        <f t="shared" si="15"/>
        <v>195.39328800000001</v>
      </c>
      <c r="H186" s="97">
        <f t="shared" si="12"/>
        <v>45.05</v>
      </c>
      <c r="J186" s="97"/>
      <c r="K186" s="100"/>
      <c r="L186" s="100"/>
    </row>
    <row r="187" spans="3:18" x14ac:dyDescent="0.25">
      <c r="C187" s="96">
        <v>84</v>
      </c>
      <c r="D187" s="97">
        <f t="shared" si="13"/>
        <v>0</v>
      </c>
      <c r="E187" s="97">
        <f t="shared" si="16"/>
        <v>2817.8850000000002</v>
      </c>
      <c r="F187" s="97">
        <f t="shared" si="14"/>
        <v>0</v>
      </c>
      <c r="G187" s="99">
        <f t="shared" si="15"/>
        <v>197.747424</v>
      </c>
      <c r="H187" s="97">
        <f t="shared" si="12"/>
        <v>45.58</v>
      </c>
      <c r="J187" s="97"/>
      <c r="K187" s="100"/>
      <c r="L187" s="100"/>
    </row>
    <row r="188" spans="3:18" x14ac:dyDescent="0.25">
      <c r="C188" s="96">
        <v>85</v>
      </c>
      <c r="D188" s="97">
        <f t="shared" si="13"/>
        <v>0</v>
      </c>
      <c r="E188" s="97">
        <f t="shared" si="16"/>
        <v>2851.4312500000001</v>
      </c>
      <c r="F188" s="97">
        <f t="shared" si="14"/>
        <v>0</v>
      </c>
      <c r="G188" s="99">
        <f t="shared" si="15"/>
        <v>200.10156000000001</v>
      </c>
      <c r="H188" s="97">
        <f t="shared" si="12"/>
        <v>46.11</v>
      </c>
      <c r="J188" s="97"/>
      <c r="K188" s="100"/>
      <c r="L188" s="100"/>
    </row>
    <row r="189" spans="3:18" x14ac:dyDescent="0.25">
      <c r="C189" s="96">
        <v>86</v>
      </c>
      <c r="D189" s="97">
        <f t="shared" si="13"/>
        <v>0</v>
      </c>
      <c r="E189" s="97">
        <f t="shared" si="16"/>
        <v>2884.9775</v>
      </c>
      <c r="F189" s="97">
        <f t="shared" si="14"/>
        <v>0</v>
      </c>
      <c r="G189" s="99">
        <f t="shared" si="15"/>
        <v>202.45569599999999</v>
      </c>
      <c r="H189" s="97">
        <f t="shared" si="12"/>
        <v>46.64</v>
      </c>
      <c r="J189" s="97"/>
      <c r="K189" s="100"/>
      <c r="L189" s="100"/>
    </row>
    <row r="190" spans="3:18" x14ac:dyDescent="0.25">
      <c r="C190" s="96">
        <v>87</v>
      </c>
      <c r="D190" s="97">
        <f t="shared" si="13"/>
        <v>0</v>
      </c>
      <c r="E190" s="97">
        <f t="shared" si="16"/>
        <v>2918.5237499999998</v>
      </c>
      <c r="F190" s="97">
        <f t="shared" si="14"/>
        <v>0</v>
      </c>
      <c r="G190" s="99">
        <f t="shared" si="15"/>
        <v>204.809832</v>
      </c>
      <c r="H190" s="97">
        <f t="shared" si="12"/>
        <v>47.17</v>
      </c>
      <c r="J190" s="97"/>
      <c r="K190" s="100"/>
      <c r="L190" s="100"/>
    </row>
    <row r="191" spans="3:18" x14ac:dyDescent="0.25">
      <c r="C191" s="96">
        <v>88</v>
      </c>
      <c r="D191" s="97">
        <f t="shared" si="13"/>
        <v>0</v>
      </c>
      <c r="E191" s="97">
        <f t="shared" si="16"/>
        <v>2952.07</v>
      </c>
      <c r="F191" s="97">
        <f t="shared" si="14"/>
        <v>0</v>
      </c>
      <c r="G191" s="99">
        <f t="shared" si="15"/>
        <v>207.16396800000001</v>
      </c>
      <c r="H191" s="97">
        <f t="shared" si="12"/>
        <v>47.7</v>
      </c>
      <c r="J191" s="97"/>
      <c r="K191" s="100"/>
      <c r="L191" s="100"/>
    </row>
    <row r="192" spans="3:18" x14ac:dyDescent="0.25">
      <c r="C192" s="96">
        <v>89</v>
      </c>
      <c r="D192" s="97">
        <f t="shared" si="13"/>
        <v>0</v>
      </c>
      <c r="E192" s="97">
        <f t="shared" si="16"/>
        <v>2985.61625</v>
      </c>
      <c r="F192" s="97">
        <f t="shared" si="14"/>
        <v>0</v>
      </c>
      <c r="G192" s="99">
        <f t="shared" si="15"/>
        <v>209.51810399999999</v>
      </c>
      <c r="H192" s="97">
        <f t="shared" si="12"/>
        <v>48.23</v>
      </c>
      <c r="J192" s="97"/>
      <c r="K192" s="100"/>
      <c r="L192" s="100"/>
    </row>
    <row r="193" spans="3:12" x14ac:dyDescent="0.25">
      <c r="C193" s="96">
        <v>90</v>
      </c>
      <c r="D193" s="97">
        <f t="shared" si="13"/>
        <v>0</v>
      </c>
      <c r="E193" s="97">
        <f t="shared" si="16"/>
        <v>3019.1624999999999</v>
      </c>
      <c r="F193" s="97">
        <f t="shared" si="14"/>
        <v>0</v>
      </c>
      <c r="G193" s="99">
        <f t="shared" si="15"/>
        <v>211.87224000000001</v>
      </c>
      <c r="H193" s="97">
        <f t="shared" si="12"/>
        <v>48.76</v>
      </c>
      <c r="J193" s="97"/>
      <c r="K193" s="100"/>
      <c r="L193" s="100"/>
    </row>
    <row r="194" spans="3:12" x14ac:dyDescent="0.25">
      <c r="C194" s="96">
        <v>91</v>
      </c>
      <c r="D194" s="97">
        <f t="shared" si="13"/>
        <v>0</v>
      </c>
      <c r="E194" s="97">
        <f t="shared" si="16"/>
        <v>3052.7087500000002</v>
      </c>
      <c r="F194" s="97">
        <f t="shared" si="14"/>
        <v>0</v>
      </c>
      <c r="G194" s="99">
        <f t="shared" si="15"/>
        <v>214.22637599999999</v>
      </c>
      <c r="H194" s="97">
        <f t="shared" si="12"/>
        <v>49.29</v>
      </c>
      <c r="J194" s="97"/>
      <c r="K194" s="100"/>
      <c r="L194" s="100"/>
    </row>
    <row r="195" spans="3:12" x14ac:dyDescent="0.25">
      <c r="C195" s="96">
        <v>92</v>
      </c>
      <c r="D195" s="97">
        <f t="shared" si="13"/>
        <v>0</v>
      </c>
      <c r="E195" s="97">
        <f t="shared" si="16"/>
        <v>3086.2550000000001</v>
      </c>
      <c r="F195" s="97">
        <f t="shared" si="14"/>
        <v>0</v>
      </c>
      <c r="G195" s="99">
        <f t="shared" si="15"/>
        <v>216.580512</v>
      </c>
      <c r="H195" s="97">
        <f t="shared" si="12"/>
        <v>49.82</v>
      </c>
      <c r="J195" s="97"/>
      <c r="K195" s="100"/>
      <c r="L195" s="100"/>
    </row>
    <row r="196" spans="3:12" x14ac:dyDescent="0.25">
      <c r="C196" s="96">
        <v>93</v>
      </c>
      <c r="D196" s="97">
        <f t="shared" si="13"/>
        <v>0</v>
      </c>
      <c r="E196" s="97">
        <f t="shared" si="16"/>
        <v>3119.80125</v>
      </c>
      <c r="F196" s="97">
        <f t="shared" si="14"/>
        <v>0</v>
      </c>
      <c r="G196" s="99">
        <f t="shared" si="15"/>
        <v>218.93464800000001</v>
      </c>
      <c r="H196" s="97">
        <f t="shared" ref="H196:H201" si="17">$E$9*1*$C198/1000</f>
        <v>50.35</v>
      </c>
      <c r="J196" s="97"/>
      <c r="K196" s="100"/>
      <c r="L196" s="100"/>
    </row>
    <row r="197" spans="3:12" x14ac:dyDescent="0.25">
      <c r="C197" s="96">
        <v>94</v>
      </c>
      <c r="D197" s="97">
        <f t="shared" si="13"/>
        <v>0</v>
      </c>
      <c r="E197" s="97">
        <f t="shared" si="16"/>
        <v>3153.3474999999999</v>
      </c>
      <c r="F197" s="97">
        <f t="shared" si="14"/>
        <v>0</v>
      </c>
      <c r="G197" s="99">
        <f t="shared" si="15"/>
        <v>221.28878399999999</v>
      </c>
      <c r="H197" s="97">
        <f t="shared" si="17"/>
        <v>50.88</v>
      </c>
      <c r="J197" s="97"/>
      <c r="K197" s="100"/>
      <c r="L197" s="100"/>
    </row>
    <row r="198" spans="3:12" x14ac:dyDescent="0.25">
      <c r="C198" s="96">
        <v>95</v>
      </c>
      <c r="D198" s="97">
        <f t="shared" ref="D198:D203" si="18">C198*$D$19</f>
        <v>0</v>
      </c>
      <c r="E198" s="97">
        <f t="shared" si="16"/>
        <v>3186.8937500000002</v>
      </c>
      <c r="F198" s="97">
        <f t="shared" ref="F198:F203" si="19">$C198*$E$19</f>
        <v>0</v>
      </c>
      <c r="G198" s="99">
        <f t="shared" ref="G198:G203" si="20">$N$9*1*$C198</f>
        <v>223.64292</v>
      </c>
      <c r="H198" s="97">
        <f t="shared" si="17"/>
        <v>51.41</v>
      </c>
      <c r="J198" s="97"/>
      <c r="K198" s="100"/>
      <c r="L198" s="100"/>
    </row>
    <row r="199" spans="3:12" x14ac:dyDescent="0.25">
      <c r="C199" s="96">
        <v>96</v>
      </c>
      <c r="D199" s="97">
        <f t="shared" si="18"/>
        <v>0</v>
      </c>
      <c r="E199" s="97">
        <f t="shared" si="16"/>
        <v>3220.44</v>
      </c>
      <c r="F199" s="97">
        <f t="shared" si="19"/>
        <v>0</v>
      </c>
      <c r="G199" s="99">
        <f t="shared" si="20"/>
        <v>225.99705599999999</v>
      </c>
      <c r="H199" s="97">
        <f t="shared" si="17"/>
        <v>51.94</v>
      </c>
      <c r="J199" s="97"/>
      <c r="K199" s="100"/>
      <c r="L199" s="100"/>
    </row>
    <row r="200" spans="3:12" x14ac:dyDescent="0.25">
      <c r="C200" s="96">
        <v>97</v>
      </c>
      <c r="D200" s="97">
        <f t="shared" si="18"/>
        <v>0</v>
      </c>
      <c r="E200" s="97">
        <f t="shared" si="16"/>
        <v>3253.9862499999999</v>
      </c>
      <c r="F200" s="97">
        <f t="shared" si="19"/>
        <v>0</v>
      </c>
      <c r="G200" s="99">
        <f t="shared" si="20"/>
        <v>228.351192</v>
      </c>
      <c r="H200" s="97">
        <f t="shared" si="17"/>
        <v>52.47</v>
      </c>
      <c r="J200" s="97"/>
      <c r="K200" s="100"/>
      <c r="L200" s="100"/>
    </row>
    <row r="201" spans="3:12" x14ac:dyDescent="0.25">
      <c r="C201" s="96">
        <v>98</v>
      </c>
      <c r="D201" s="97">
        <f t="shared" si="18"/>
        <v>0</v>
      </c>
      <c r="E201" s="97">
        <f t="shared" si="16"/>
        <v>3287.5325000000003</v>
      </c>
      <c r="F201" s="97">
        <f t="shared" si="19"/>
        <v>0</v>
      </c>
      <c r="G201" s="99">
        <f t="shared" si="20"/>
        <v>230.70532800000001</v>
      </c>
      <c r="H201" s="97">
        <f t="shared" si="17"/>
        <v>53</v>
      </c>
      <c r="J201" s="97"/>
      <c r="K201" s="100"/>
      <c r="L201" s="100"/>
    </row>
    <row r="202" spans="3:12" x14ac:dyDescent="0.25">
      <c r="C202" s="96">
        <v>99</v>
      </c>
      <c r="D202" s="97">
        <f t="shared" si="18"/>
        <v>0</v>
      </c>
      <c r="E202" s="97">
        <f t="shared" si="16"/>
        <v>3321.0787500000001</v>
      </c>
      <c r="F202" s="97">
        <f t="shared" si="19"/>
        <v>0</v>
      </c>
      <c r="G202" s="99">
        <f t="shared" si="20"/>
        <v>233.05946399999999</v>
      </c>
      <c r="H202" s="104"/>
      <c r="J202" s="97"/>
      <c r="K202" s="100"/>
      <c r="L202" s="100"/>
    </row>
    <row r="203" spans="3:12" ht="15" customHeight="1" x14ac:dyDescent="0.25">
      <c r="C203" s="96">
        <v>100</v>
      </c>
      <c r="D203" s="97">
        <f t="shared" si="18"/>
        <v>0</v>
      </c>
      <c r="E203" s="97">
        <f t="shared" si="16"/>
        <v>3354.625</v>
      </c>
      <c r="F203" s="97">
        <f t="shared" si="19"/>
        <v>0</v>
      </c>
      <c r="G203" s="99">
        <f t="shared" si="20"/>
        <v>235.4136</v>
      </c>
      <c r="H203" s="104"/>
      <c r="J203" s="97"/>
      <c r="K203" s="100"/>
      <c r="L203" s="100"/>
    </row>
    <row r="204" spans="3:12" ht="15" customHeight="1" x14ac:dyDescent="0.25">
      <c r="C204" s="96"/>
      <c r="D204" s="102"/>
      <c r="E204" s="103"/>
      <c r="F204" s="103"/>
      <c r="G204" s="103"/>
      <c r="H204" s="104"/>
      <c r="J204" s="97"/>
      <c r="K204" s="100"/>
      <c r="L204" s="100"/>
    </row>
    <row r="205" spans="3:12" ht="15" customHeight="1" x14ac:dyDescent="0.25">
      <c r="C205" s="96"/>
      <c r="D205" s="102"/>
      <c r="E205" s="103"/>
      <c r="F205" s="103"/>
      <c r="G205" s="103"/>
      <c r="H205" s="104"/>
      <c r="J205" s="97"/>
      <c r="K205" s="100"/>
      <c r="L205" s="100"/>
    </row>
    <row r="206" spans="3:12" ht="15" customHeight="1" x14ac:dyDescent="0.25">
      <c r="C206" s="96"/>
      <c r="D206" s="102"/>
      <c r="E206" s="103"/>
      <c r="F206" s="103"/>
      <c r="G206" s="103"/>
      <c r="H206" s="104"/>
      <c r="J206" s="97"/>
      <c r="K206" s="100"/>
      <c r="L206" s="100"/>
    </row>
    <row r="207" spans="3:12" ht="15" customHeight="1" x14ac:dyDescent="0.25">
      <c r="C207" s="96"/>
      <c r="D207" s="102"/>
      <c r="E207" s="103"/>
      <c r="F207" s="103"/>
      <c r="G207" s="103"/>
      <c r="H207" s="104"/>
      <c r="J207" s="97"/>
      <c r="K207" s="100"/>
      <c r="L207" s="100"/>
    </row>
    <row r="208" spans="3:12" ht="15" customHeight="1" x14ac:dyDescent="0.25">
      <c r="C208" s="96"/>
      <c r="D208" s="102"/>
      <c r="E208" s="103"/>
      <c r="F208" s="103"/>
      <c r="G208" s="103"/>
      <c r="H208" s="104"/>
      <c r="J208" s="97"/>
      <c r="K208" s="100"/>
      <c r="L208" s="100"/>
    </row>
    <row r="209" spans="3:12" ht="15" customHeight="1" x14ac:dyDescent="0.25">
      <c r="C209" s="96"/>
      <c r="D209" s="102"/>
      <c r="E209" s="103"/>
      <c r="F209" s="103"/>
      <c r="G209" s="103"/>
      <c r="H209" s="104"/>
      <c r="J209" s="97"/>
      <c r="K209" s="100"/>
      <c r="L209" s="100"/>
    </row>
    <row r="210" spans="3:12" ht="15" customHeight="1" x14ac:dyDescent="0.25">
      <c r="C210" s="96"/>
      <c r="D210" s="102"/>
      <c r="E210" s="103"/>
      <c r="F210" s="103"/>
      <c r="G210" s="103"/>
      <c r="H210" s="104"/>
      <c r="J210" s="104"/>
      <c r="K210" s="104"/>
      <c r="L210" s="104"/>
    </row>
    <row r="211" spans="3:12" ht="15" customHeight="1" x14ac:dyDescent="0.25">
      <c r="C211" s="96"/>
      <c r="D211" s="102"/>
      <c r="E211" s="103"/>
      <c r="F211" s="103"/>
      <c r="G211" s="103"/>
      <c r="H211" s="104"/>
      <c r="J211" s="104"/>
      <c r="K211" s="104"/>
      <c r="L211" s="104"/>
    </row>
    <row r="212" spans="3:12" ht="15" customHeight="1" x14ac:dyDescent="0.25">
      <c r="C212" s="96"/>
      <c r="D212" s="102"/>
      <c r="E212" s="103"/>
      <c r="F212" s="103"/>
      <c r="G212" s="103"/>
      <c r="H212" s="104"/>
      <c r="J212" s="104"/>
      <c r="K212" s="104"/>
      <c r="L212" s="104"/>
    </row>
    <row r="213" spans="3:12" ht="15" customHeight="1" x14ac:dyDescent="0.25">
      <c r="C213" s="96"/>
      <c r="D213" s="102"/>
      <c r="E213" s="103"/>
      <c r="F213" s="103"/>
      <c r="G213" s="103"/>
      <c r="H213" s="104"/>
      <c r="J213" s="104"/>
      <c r="K213" s="104"/>
      <c r="L213" s="104"/>
    </row>
    <row r="214" spans="3:12" ht="15" customHeight="1" x14ac:dyDescent="0.25">
      <c r="C214" s="96"/>
      <c r="D214" s="102"/>
      <c r="E214" s="103"/>
      <c r="F214" s="103"/>
      <c r="G214" s="103"/>
      <c r="H214" s="104"/>
      <c r="J214" s="104"/>
      <c r="K214" s="104"/>
      <c r="L214" s="104"/>
    </row>
    <row r="215" spans="3:12" ht="15" customHeight="1" x14ac:dyDescent="0.25">
      <c r="C215" s="96"/>
      <c r="D215" s="102"/>
      <c r="E215" s="103"/>
      <c r="F215" s="103"/>
      <c r="G215" s="103"/>
      <c r="H215" s="104"/>
      <c r="J215" s="104"/>
      <c r="K215" s="104"/>
      <c r="L215" s="104"/>
    </row>
    <row r="216" spans="3:12" ht="15" customHeight="1" x14ac:dyDescent="0.25">
      <c r="C216" s="96"/>
      <c r="D216" s="102"/>
      <c r="E216" s="103"/>
      <c r="F216" s="103"/>
      <c r="G216" s="103"/>
      <c r="H216" s="104"/>
      <c r="J216" s="104"/>
      <c r="K216" s="104"/>
      <c r="L216" s="104"/>
    </row>
    <row r="217" spans="3:12" ht="15" customHeight="1" x14ac:dyDescent="0.25">
      <c r="C217" s="96"/>
      <c r="D217" s="102"/>
      <c r="E217" s="103"/>
      <c r="F217" s="103"/>
      <c r="G217" s="103"/>
      <c r="H217" s="104"/>
      <c r="J217" s="104"/>
      <c r="K217" s="104"/>
      <c r="L217" s="104"/>
    </row>
    <row r="218" spans="3:12" ht="15" customHeight="1" x14ac:dyDescent="0.25">
      <c r="C218" s="96"/>
      <c r="D218" s="102"/>
      <c r="E218" s="103"/>
      <c r="F218" s="103"/>
      <c r="G218" s="103"/>
      <c r="H218" s="104"/>
      <c r="J218" s="104"/>
      <c r="K218" s="104"/>
      <c r="L218" s="104"/>
    </row>
    <row r="219" spans="3:12" ht="15" customHeight="1" x14ac:dyDescent="0.25">
      <c r="C219" s="96"/>
      <c r="D219" s="102"/>
      <c r="E219" s="103"/>
      <c r="F219" s="103"/>
      <c r="G219" s="103"/>
      <c r="H219" s="104"/>
      <c r="J219" s="104"/>
      <c r="K219" s="104"/>
      <c r="L219" s="104"/>
    </row>
    <row r="220" spans="3:12" ht="15" customHeight="1" x14ac:dyDescent="0.25">
      <c r="C220" s="96"/>
      <c r="D220" s="102"/>
      <c r="E220" s="103"/>
      <c r="F220" s="103"/>
      <c r="G220" s="103"/>
      <c r="H220" s="104"/>
      <c r="J220" s="104"/>
      <c r="K220" s="104"/>
      <c r="L220" s="104"/>
    </row>
    <row r="221" spans="3:12" ht="15" customHeight="1" x14ac:dyDescent="0.25">
      <c r="C221" s="96"/>
      <c r="D221" s="102"/>
      <c r="E221" s="103"/>
      <c r="F221" s="103"/>
      <c r="G221" s="103"/>
      <c r="H221" s="104"/>
      <c r="J221" s="104"/>
      <c r="K221" s="104"/>
      <c r="L221" s="104"/>
    </row>
    <row r="222" spans="3:12" ht="15" customHeight="1" x14ac:dyDescent="0.25">
      <c r="C222" s="96"/>
      <c r="D222" s="102"/>
      <c r="E222" s="103"/>
      <c r="F222" s="103"/>
      <c r="G222" s="103"/>
      <c r="H222" s="104"/>
      <c r="J222" s="104"/>
      <c r="K222" s="104"/>
      <c r="L222" s="104"/>
    </row>
    <row r="223" spans="3:12" ht="15" customHeight="1" x14ac:dyDescent="0.25">
      <c r="C223" s="96"/>
      <c r="D223" s="102"/>
      <c r="E223" s="103"/>
      <c r="F223" s="103"/>
      <c r="G223" s="103"/>
      <c r="H223" s="104"/>
      <c r="J223" s="104"/>
      <c r="K223" s="104"/>
      <c r="L223" s="104"/>
    </row>
    <row r="224" spans="3:12" ht="15" customHeight="1" x14ac:dyDescent="0.25">
      <c r="C224" s="96"/>
      <c r="D224" s="102"/>
      <c r="E224" s="103"/>
      <c r="F224" s="103"/>
      <c r="G224" s="103"/>
      <c r="H224" s="104"/>
      <c r="J224" s="104"/>
      <c r="K224" s="104"/>
      <c r="L224" s="104"/>
    </row>
    <row r="225" spans="3:12" ht="15" customHeight="1" x14ac:dyDescent="0.25">
      <c r="C225" s="96"/>
      <c r="D225" s="102"/>
      <c r="E225" s="103"/>
      <c r="F225" s="103"/>
      <c r="G225" s="103"/>
      <c r="H225" s="104"/>
      <c r="J225" s="104"/>
      <c r="K225" s="104"/>
      <c r="L225" s="104"/>
    </row>
    <row r="226" spans="3:12" ht="15" customHeight="1" x14ac:dyDescent="0.25">
      <c r="C226" s="96"/>
      <c r="D226" s="102"/>
      <c r="E226" s="103"/>
      <c r="F226" s="103"/>
      <c r="G226" s="103"/>
      <c r="H226" s="104"/>
      <c r="J226" s="104"/>
      <c r="K226" s="104"/>
      <c r="L226" s="104"/>
    </row>
    <row r="227" spans="3:12" ht="15" customHeight="1" x14ac:dyDescent="0.25">
      <c r="C227" s="96"/>
      <c r="D227" s="102"/>
      <c r="E227" s="103"/>
      <c r="F227" s="103"/>
      <c r="G227" s="103"/>
      <c r="H227" s="104"/>
      <c r="J227" s="104"/>
      <c r="K227" s="104"/>
      <c r="L227" s="104"/>
    </row>
    <row r="228" spans="3:12" ht="15" customHeight="1" x14ac:dyDescent="0.25">
      <c r="C228" s="96"/>
      <c r="D228" s="102"/>
      <c r="E228" s="103"/>
      <c r="F228" s="103"/>
      <c r="G228" s="103"/>
      <c r="H228" s="104"/>
      <c r="J228" s="104"/>
      <c r="K228" s="104"/>
      <c r="L228" s="104"/>
    </row>
    <row r="229" spans="3:12" ht="15" customHeight="1" x14ac:dyDescent="0.25">
      <c r="C229" s="96"/>
      <c r="D229" s="102"/>
      <c r="E229" s="103"/>
      <c r="F229" s="103"/>
      <c r="G229" s="103"/>
      <c r="H229" s="104"/>
      <c r="J229" s="104"/>
      <c r="K229" s="104"/>
      <c r="L229" s="104"/>
    </row>
    <row r="230" spans="3:12" ht="15" customHeight="1" x14ac:dyDescent="0.25">
      <c r="C230" s="96"/>
      <c r="D230" s="102"/>
      <c r="E230" s="103"/>
      <c r="F230" s="103"/>
      <c r="G230" s="103"/>
      <c r="H230" s="104"/>
      <c r="J230" s="104"/>
      <c r="K230" s="104"/>
      <c r="L230" s="104"/>
    </row>
    <row r="231" spans="3:12" ht="15" customHeight="1" x14ac:dyDescent="0.25">
      <c r="C231" s="96"/>
      <c r="D231" s="102"/>
      <c r="E231" s="103"/>
      <c r="F231" s="103"/>
      <c r="G231" s="103"/>
      <c r="H231" s="104"/>
      <c r="J231" s="104"/>
      <c r="K231" s="104"/>
      <c r="L231" s="104"/>
    </row>
    <row r="232" spans="3:12" ht="15" customHeight="1" x14ac:dyDescent="0.25">
      <c r="C232" s="96"/>
      <c r="D232" s="102"/>
      <c r="E232" s="103"/>
      <c r="F232" s="103"/>
      <c r="G232" s="103"/>
      <c r="H232" s="104"/>
      <c r="J232" s="104"/>
      <c r="K232" s="104"/>
      <c r="L232" s="104"/>
    </row>
    <row r="233" spans="3:12" ht="15" customHeight="1" x14ac:dyDescent="0.25">
      <c r="C233" s="96"/>
      <c r="D233" s="102"/>
      <c r="E233" s="103"/>
      <c r="F233" s="103"/>
      <c r="G233" s="103"/>
      <c r="H233" s="104"/>
      <c r="J233" s="104"/>
      <c r="K233" s="104"/>
      <c r="L233" s="104"/>
    </row>
    <row r="234" spans="3:12" ht="15" customHeight="1" x14ac:dyDescent="0.25">
      <c r="C234" s="96"/>
      <c r="D234" s="102"/>
      <c r="E234" s="103"/>
      <c r="F234" s="103"/>
      <c r="G234" s="103"/>
      <c r="H234" s="104"/>
      <c r="J234" s="104"/>
      <c r="K234" s="104"/>
      <c r="L234" s="104"/>
    </row>
    <row r="235" spans="3:12" ht="15" customHeight="1" x14ac:dyDescent="0.25">
      <c r="C235" s="96"/>
      <c r="D235" s="102"/>
      <c r="E235" s="103"/>
      <c r="F235" s="103"/>
      <c r="G235" s="103"/>
      <c r="H235" s="104"/>
      <c r="J235" s="104"/>
      <c r="K235" s="104"/>
      <c r="L235" s="104"/>
    </row>
    <row r="236" spans="3:12" ht="15" customHeight="1" x14ac:dyDescent="0.25">
      <c r="C236" s="96"/>
      <c r="D236" s="102"/>
      <c r="E236" s="103"/>
      <c r="F236" s="103"/>
      <c r="G236" s="103"/>
      <c r="H236" s="104">
        <f>$C238*2*$E$9</f>
        <v>0</v>
      </c>
      <c r="J236" s="104"/>
      <c r="K236" s="104"/>
      <c r="L236" s="104"/>
    </row>
    <row r="237" spans="3:12" ht="15" customHeight="1" x14ac:dyDescent="0.25">
      <c r="C237" s="96"/>
      <c r="D237" s="102"/>
      <c r="E237" s="103"/>
      <c r="F237" s="103"/>
      <c r="G237" s="103"/>
      <c r="J237" s="104"/>
      <c r="K237" s="104"/>
      <c r="L237" s="104"/>
    </row>
    <row r="238" spans="3:12" ht="15" customHeight="1" x14ac:dyDescent="0.25">
      <c r="C238" s="96"/>
      <c r="D238" s="102"/>
      <c r="E238" s="103"/>
      <c r="F238" s="103"/>
      <c r="G238" s="103"/>
      <c r="J238" s="104"/>
      <c r="K238" s="104"/>
      <c r="L238" s="104"/>
    </row>
    <row r="239" spans="3:12" ht="15" customHeight="1" x14ac:dyDescent="0.25">
      <c r="C239" s="96"/>
      <c r="D239" s="102"/>
      <c r="E239" s="103"/>
      <c r="F239" s="103"/>
      <c r="G239" s="103"/>
      <c r="J239" s="104"/>
      <c r="K239" s="104"/>
      <c r="L239" s="104"/>
    </row>
    <row r="240" spans="3:12" ht="15" customHeight="1" x14ac:dyDescent="0.25">
      <c r="C240" s="96"/>
      <c r="D240" s="102"/>
      <c r="E240" s="103"/>
      <c r="F240" s="103"/>
      <c r="G240" s="103"/>
      <c r="J240" s="104"/>
      <c r="K240" s="104"/>
      <c r="L240" s="104"/>
    </row>
    <row r="241" spans="3:12" ht="15" customHeight="1" x14ac:dyDescent="0.25">
      <c r="C241" s="96"/>
      <c r="D241" s="102"/>
      <c r="E241" s="103"/>
      <c r="F241" s="103"/>
      <c r="G241" s="103"/>
      <c r="J241" s="104"/>
      <c r="K241" s="104"/>
      <c r="L241" s="104"/>
    </row>
    <row r="242" spans="3:12" ht="15" customHeight="1" x14ac:dyDescent="0.25">
      <c r="C242" s="96"/>
      <c r="D242" s="102"/>
      <c r="E242" s="103"/>
      <c r="F242" s="103"/>
      <c r="G242" s="103"/>
      <c r="J242" s="104"/>
      <c r="K242" s="104"/>
      <c r="L242" s="104"/>
    </row>
    <row r="243" spans="3:12" ht="15" customHeight="1" x14ac:dyDescent="0.25">
      <c r="C243" s="96"/>
      <c r="D243" s="102"/>
      <c r="E243" s="103"/>
      <c r="F243" s="103"/>
      <c r="G243" s="103"/>
      <c r="J243" s="104"/>
      <c r="K243" s="104"/>
      <c r="L243" s="104"/>
    </row>
    <row r="244" spans="3:12" ht="15" customHeight="1" x14ac:dyDescent="0.25">
      <c r="C244" s="96"/>
      <c r="D244" s="102"/>
      <c r="E244" s="103"/>
      <c r="F244" s="103"/>
      <c r="G244" s="103"/>
      <c r="J244" s="104"/>
      <c r="K244" s="104">
        <f>$C238*4*$E$9</f>
        <v>0</v>
      </c>
      <c r="L244" s="104">
        <f>$C238*5*$E$9</f>
        <v>0</v>
      </c>
    </row>
    <row r="245" spans="3:12" ht="15" customHeight="1" x14ac:dyDescent="0.25">
      <c r="C245" s="96"/>
      <c r="D245" s="102"/>
      <c r="E245" s="103"/>
      <c r="F245" s="103"/>
      <c r="G245" s="103"/>
    </row>
    <row r="246" spans="3:12" ht="15" customHeight="1" x14ac:dyDescent="0.25">
      <c r="C246" s="96"/>
      <c r="D246" s="102"/>
      <c r="E246" s="103"/>
      <c r="F246" s="103"/>
      <c r="G246" s="103"/>
    </row>
    <row r="247" spans="3:12" ht="15" customHeight="1" x14ac:dyDescent="0.25">
      <c r="C247" s="96"/>
      <c r="D247" s="102"/>
      <c r="E247" s="103"/>
      <c r="F247" s="103"/>
      <c r="G247" s="103"/>
    </row>
    <row r="248" spans="3:12" ht="15" customHeight="1" x14ac:dyDescent="0.25">
      <c r="C248" s="96"/>
      <c r="D248" s="102"/>
      <c r="E248" s="103"/>
      <c r="F248" s="103"/>
      <c r="G248" s="103"/>
    </row>
    <row r="249" spans="3:12" ht="15" customHeight="1" x14ac:dyDescent="0.25">
      <c r="C249" s="96"/>
      <c r="D249" s="102"/>
      <c r="E249" s="103"/>
      <c r="F249" s="103"/>
      <c r="G249" s="103"/>
    </row>
    <row r="250" spans="3:12" ht="15" customHeight="1" x14ac:dyDescent="0.25">
      <c r="C250" s="96"/>
      <c r="D250" s="102"/>
      <c r="E250" s="103"/>
      <c r="F250" s="103"/>
      <c r="G250" s="103"/>
    </row>
    <row r="251" spans="3:12" ht="15" customHeight="1" x14ac:dyDescent="0.25">
      <c r="C251" s="96"/>
      <c r="D251" s="102"/>
      <c r="E251" s="103"/>
      <c r="F251" s="103"/>
      <c r="G251" s="103"/>
    </row>
    <row r="252" spans="3:12" ht="15" customHeight="1" x14ac:dyDescent="0.25">
      <c r="C252" s="96"/>
      <c r="D252" s="102"/>
      <c r="E252" s="103"/>
      <c r="F252" s="103"/>
      <c r="G252" s="103"/>
    </row>
    <row r="253" spans="3:12" ht="15" customHeight="1" x14ac:dyDescent="0.25">
      <c r="C253" s="96"/>
      <c r="D253" s="102"/>
      <c r="E253" s="103"/>
      <c r="F253" s="103"/>
      <c r="G253" s="103"/>
    </row>
    <row r="254" spans="3:12" ht="15" customHeight="1" x14ac:dyDescent="0.25">
      <c r="C254" s="96"/>
      <c r="D254" s="102"/>
      <c r="E254" s="103"/>
      <c r="F254" s="103"/>
      <c r="G254" s="103"/>
    </row>
    <row r="255" spans="3:12" ht="15" customHeight="1" x14ac:dyDescent="0.25">
      <c r="C255" s="96"/>
      <c r="D255" s="102"/>
      <c r="E255" s="103"/>
      <c r="F255" s="103"/>
      <c r="G255" s="103"/>
    </row>
    <row r="256" spans="3:12" ht="15" customHeight="1" x14ac:dyDescent="0.25">
      <c r="C256" s="96"/>
      <c r="D256" s="102"/>
      <c r="E256" s="103"/>
      <c r="F256" s="103"/>
      <c r="G256" s="103"/>
    </row>
    <row r="257" spans="3:8" ht="15" customHeight="1" x14ac:dyDescent="0.25">
      <c r="C257" s="96"/>
      <c r="D257" s="102"/>
      <c r="E257" s="103"/>
      <c r="F257" s="103"/>
      <c r="G257" s="103"/>
    </row>
    <row r="258" spans="3:8" ht="15" customHeight="1" x14ac:dyDescent="0.25">
      <c r="C258" s="96"/>
      <c r="D258" s="102"/>
      <c r="E258" s="103"/>
      <c r="F258" s="103"/>
      <c r="G258" s="103"/>
    </row>
    <row r="259" spans="3:8" ht="15" customHeight="1" x14ac:dyDescent="0.25">
      <c r="C259" s="96"/>
      <c r="D259" s="102"/>
      <c r="E259" s="103"/>
      <c r="F259" s="103"/>
      <c r="G259" s="103"/>
    </row>
    <row r="260" spans="3:8" ht="15" customHeight="1" x14ac:dyDescent="0.25">
      <c r="C260" s="96"/>
      <c r="D260" s="102"/>
      <c r="E260" s="103"/>
      <c r="F260" s="103"/>
      <c r="G260" s="103"/>
    </row>
    <row r="261" spans="3:8" ht="15" customHeight="1" x14ac:dyDescent="0.25">
      <c r="C261" s="96"/>
      <c r="D261" s="102"/>
      <c r="E261" s="103"/>
      <c r="F261" s="103"/>
      <c r="G261" s="103"/>
    </row>
    <row r="262" spans="3:8" ht="15" customHeight="1" x14ac:dyDescent="0.25">
      <c r="C262" s="96"/>
      <c r="D262" s="102"/>
      <c r="E262" s="103"/>
      <c r="F262" s="103"/>
      <c r="G262" s="103"/>
    </row>
    <row r="263" spans="3:8" ht="15" customHeight="1" x14ac:dyDescent="0.25">
      <c r="C263" s="96"/>
      <c r="D263" s="102"/>
      <c r="E263" s="103"/>
      <c r="F263" s="103"/>
      <c r="G263" s="103"/>
    </row>
    <row r="264" spans="3:8" ht="15" customHeight="1" x14ac:dyDescent="0.25">
      <c r="C264" s="96"/>
      <c r="D264" s="102"/>
      <c r="E264" s="103"/>
      <c r="F264" s="103"/>
      <c r="G264" s="103"/>
    </row>
    <row r="265" spans="3:8" ht="15" customHeight="1" x14ac:dyDescent="0.25">
      <c r="C265" s="96"/>
      <c r="D265" s="102"/>
      <c r="E265" s="103"/>
      <c r="F265" s="103"/>
      <c r="G265" s="103"/>
    </row>
    <row r="266" spans="3:8" ht="15" customHeight="1" x14ac:dyDescent="0.25">
      <c r="C266" s="96"/>
      <c r="D266" s="102"/>
      <c r="E266" s="103"/>
      <c r="F266" s="103"/>
      <c r="G266" s="103"/>
    </row>
    <row r="267" spans="3:8" ht="15" customHeight="1" x14ac:dyDescent="0.25">
      <c r="C267" s="96"/>
      <c r="D267" s="102"/>
      <c r="E267" s="103"/>
      <c r="F267" s="103"/>
      <c r="G267" s="103"/>
      <c r="H267" s="104"/>
    </row>
    <row r="268" spans="3:8" ht="15" customHeight="1" x14ac:dyDescent="0.25">
      <c r="C268" s="96"/>
      <c r="D268" s="102"/>
      <c r="E268" s="103"/>
      <c r="F268" s="103"/>
      <c r="G268" s="103"/>
      <c r="H268" s="104"/>
    </row>
    <row r="269" spans="3:8" ht="15" customHeight="1" x14ac:dyDescent="0.25">
      <c r="C269" s="96"/>
      <c r="D269" s="102"/>
      <c r="E269" s="103"/>
      <c r="F269" s="103"/>
      <c r="G269" s="103"/>
      <c r="H269" s="104"/>
    </row>
    <row r="270" spans="3:8" ht="15" customHeight="1" x14ac:dyDescent="0.25">
      <c r="C270" s="96"/>
      <c r="D270" s="102"/>
      <c r="E270" s="103"/>
      <c r="F270" s="103"/>
      <c r="G270" s="103"/>
      <c r="H270" s="104"/>
    </row>
    <row r="271" spans="3:8" ht="15" customHeight="1" x14ac:dyDescent="0.25">
      <c r="C271" s="96"/>
      <c r="D271" s="102"/>
      <c r="E271" s="103"/>
      <c r="F271" s="103"/>
      <c r="G271" s="103"/>
    </row>
    <row r="272" spans="3:8" ht="15" customHeight="1" x14ac:dyDescent="0.25">
      <c r="C272" s="96"/>
      <c r="D272" s="102"/>
      <c r="E272" s="103"/>
      <c r="F272" s="103"/>
      <c r="G272" s="103"/>
    </row>
  </sheetData>
  <sheetProtection algorithmName="SHA-512" hashValue="dibga3RmuhqDuOxtGjZ/NydYHt9/0Y+Nv2ar6MVNUqHo2aol/krbkS0fF4dZIFlaqpZ+J1uzcAVffkkWpxeC+A==" saltValue="B2VCg3e+0RKwUkHX+mFX+A==" spinCount="100000" sheet="1" selectLockedCells="1"/>
  <dataConsolidate link="1"/>
  <mergeCells count="27">
    <mergeCell ref="F1:J3"/>
    <mergeCell ref="C20:G20"/>
    <mergeCell ref="J20:N20"/>
    <mergeCell ref="J25:J26"/>
    <mergeCell ref="K25:K26"/>
    <mergeCell ref="L25:L26"/>
    <mergeCell ref="M25:M26"/>
    <mergeCell ref="C5:N5"/>
    <mergeCell ref="F4:J4"/>
    <mergeCell ref="K62:N62"/>
    <mergeCell ref="K63:N63"/>
    <mergeCell ref="K61:N61"/>
    <mergeCell ref="K60:N60"/>
    <mergeCell ref="M29:M30"/>
    <mergeCell ref="J29:J30"/>
    <mergeCell ref="K42:N55"/>
    <mergeCell ref="J56:N56"/>
    <mergeCell ref="J33:J34"/>
    <mergeCell ref="K33:K34"/>
    <mergeCell ref="L33:L34"/>
    <mergeCell ref="M33:M34"/>
    <mergeCell ref="J37:J38"/>
    <mergeCell ref="K37:K38"/>
    <mergeCell ref="L37:L38"/>
    <mergeCell ref="M37:M38"/>
    <mergeCell ref="K29:K30"/>
    <mergeCell ref="L29:L30"/>
  </mergeCells>
  <phoneticPr fontId="24" type="noConversion"/>
  <conditionalFormatting sqref="C24:G50">
    <cfRule type="expression" dxfId="47" priority="194">
      <formula>AND($C24&lt;=$R$85,$C24&gt;=$R$84)</formula>
    </cfRule>
    <cfRule type="expression" dxfId="46" priority="193">
      <formula>OR($C24&lt;$R$84,$C24&gt;$R$85)</formula>
    </cfRule>
  </conditionalFormatting>
  <conditionalFormatting sqref="C54:G57">
    <cfRule type="expression" dxfId="45" priority="196">
      <formula>OR($C54&gt;$R$79)</formula>
    </cfRule>
    <cfRule type="expression" dxfId="44" priority="195">
      <formula>OR($C54&gt;$R$78)</formula>
    </cfRule>
    <cfRule type="expression" dxfId="43" priority="197">
      <formula>AND($C54&lt;=$R$78)</formula>
    </cfRule>
  </conditionalFormatting>
  <conditionalFormatting sqref="K25">
    <cfRule type="expression" dxfId="42" priority="199">
      <formula>$R$91=1</formula>
    </cfRule>
    <cfRule type="expression" dxfId="41" priority="198">
      <formula>$R$91=0</formula>
    </cfRule>
  </conditionalFormatting>
  <conditionalFormatting sqref="K29">
    <cfRule type="expression" dxfId="40" priority="200">
      <formula>$R$99=0</formula>
    </cfRule>
    <cfRule type="expression" dxfId="39" priority="201">
      <formula>$R$99=1</formula>
    </cfRule>
  </conditionalFormatting>
  <conditionalFormatting sqref="K33">
    <cfRule type="expression" dxfId="38" priority="36">
      <formula>$R$107=0</formula>
    </cfRule>
    <cfRule type="expression" dxfId="37" priority="37">
      <formula>$R$107=1</formula>
    </cfRule>
  </conditionalFormatting>
  <conditionalFormatting sqref="K37">
    <cfRule type="expression" dxfId="36" priority="28">
      <formula>$R$115=0</formula>
    </cfRule>
    <cfRule type="expression" dxfId="35" priority="29">
      <formula>$R$115=1</formula>
    </cfRule>
  </conditionalFormatting>
  <conditionalFormatting sqref="K33:L34">
    <cfRule type="expression" dxfId="34" priority="18" stopIfTrue="1">
      <formula>$Q$152=0</formula>
    </cfRule>
  </conditionalFormatting>
  <conditionalFormatting sqref="K37:M38">
    <cfRule type="expression" dxfId="33" priority="1" stopIfTrue="1">
      <formula>$Q$152=0</formula>
    </cfRule>
  </conditionalFormatting>
  <conditionalFormatting sqref="K32:N32 K36:N36">
    <cfRule type="expression" dxfId="32" priority="10">
      <formula>$Q$152=0</formula>
    </cfRule>
  </conditionalFormatting>
  <conditionalFormatting sqref="L25">
    <cfRule type="expression" dxfId="31" priority="202">
      <formula>$R$93=0</formula>
    </cfRule>
    <cfRule type="expression" dxfId="30" priority="203">
      <formula>$R$92=1</formula>
    </cfRule>
    <cfRule type="expression" dxfId="29" priority="204">
      <formula>$R$93=1</formula>
    </cfRule>
  </conditionalFormatting>
  <conditionalFormatting sqref="L29">
    <cfRule type="expression" dxfId="28" priority="205">
      <formula>$R$101=0</formula>
    </cfRule>
    <cfRule type="expression" dxfId="27" priority="206">
      <formula>$R$100=1</formula>
    </cfRule>
    <cfRule type="expression" dxfId="26" priority="207">
      <formula>$R$101=1</formula>
    </cfRule>
  </conditionalFormatting>
  <conditionalFormatting sqref="L33">
    <cfRule type="expression" dxfId="25" priority="40">
      <formula>$R$109=1</formula>
    </cfRule>
    <cfRule type="expression" dxfId="24" priority="39">
      <formula>$R$108=1</formula>
    </cfRule>
    <cfRule type="expression" dxfId="23" priority="38">
      <formula>$R$109=0</formula>
    </cfRule>
  </conditionalFormatting>
  <conditionalFormatting sqref="L37">
    <cfRule type="expression" dxfId="22" priority="32">
      <formula>$R$117=1</formula>
    </cfRule>
    <cfRule type="expression" dxfId="21" priority="30">
      <formula>$R$117=0</formula>
    </cfRule>
    <cfRule type="expression" dxfId="20" priority="31">
      <formula>$R$116=1</formula>
    </cfRule>
  </conditionalFormatting>
  <conditionalFormatting sqref="M25">
    <cfRule type="expression" dxfId="19" priority="210">
      <formula>$Q$159=1</formula>
    </cfRule>
    <cfRule type="expression" dxfId="18" priority="16">
      <formula>$R$94=0</formula>
    </cfRule>
    <cfRule type="expression" dxfId="17" priority="233">
      <formula>$R$94=1</formula>
    </cfRule>
  </conditionalFormatting>
  <conditionalFormatting sqref="M29">
    <cfRule type="expression" dxfId="16" priority="3">
      <formula>$R$102=0</formula>
    </cfRule>
    <cfRule type="expression" dxfId="15" priority="213">
      <formula>$R$102=1</formula>
    </cfRule>
  </conditionalFormatting>
  <conditionalFormatting sqref="M29:M30">
    <cfRule type="expression" dxfId="14" priority="211">
      <formula>$Q$159=1</formula>
    </cfRule>
  </conditionalFormatting>
  <conditionalFormatting sqref="M33:M34">
    <cfRule type="expression" dxfId="13" priority="9">
      <formula>$Q$159=1</formula>
    </cfRule>
    <cfRule type="expression" dxfId="12" priority="4">
      <formula>$R$110=0</formula>
    </cfRule>
    <cfRule type="expression" dxfId="11" priority="232">
      <formula>$R$110=1</formula>
    </cfRule>
    <cfRule type="expression" dxfId="10" priority="2" stopIfTrue="1">
      <formula>$Q$152=0</formula>
    </cfRule>
  </conditionalFormatting>
  <conditionalFormatting sqref="M37:M38">
    <cfRule type="expression" dxfId="9" priority="6">
      <formula>$R$118=0</formula>
    </cfRule>
    <cfRule type="expression" dxfId="8" priority="8">
      <formula>$Q$159</formula>
    </cfRule>
    <cfRule type="expression" dxfId="7" priority="212">
      <formula>$R$118=1</formula>
    </cfRule>
  </conditionalFormatting>
  <conditionalFormatting sqref="P32">
    <cfRule type="expression" dxfId="6" priority="23">
      <formula>P32="okay"</formula>
    </cfRule>
    <cfRule type="expression" dxfId="5" priority="22">
      <formula>P32="hallo"</formula>
    </cfRule>
    <cfRule type="expression" dxfId="4" priority="21">
      <formula>P32=""</formula>
    </cfRule>
  </conditionalFormatting>
  <dataValidations count="4">
    <dataValidation type="whole" allowBlank="1" showInputMessage="1" showErrorMessage="1" errorTitle="Falscher Wert" error="Nicht zulässige Modulanzahl" sqref="O128" xr:uid="{1BA7DE4E-A71B-4E87-8CEF-94DF964E6085}">
      <formula1>0</formula1>
      <formula2>25</formula2>
    </dataValidation>
    <dataValidation type="whole" operator="greaterThan" allowBlank="1" showInputMessage="1" showErrorMessage="1" errorTitle="Wrong temperature" error="Temperature to low" sqref="C17" xr:uid="{C1279648-FA3B-4DF5-B925-265CBD5DD5CC}">
      <formula1>C18</formula1>
    </dataValidation>
    <dataValidation type="whole" operator="lessThan" allowBlank="1" showInputMessage="1" showErrorMessage="1" errorTitle="Wrong temperature" error="Temperature to high" sqref="C18" xr:uid="{31BD5327-9D3D-4E30-8521-102F25E5B60F}">
      <formula1>C17</formula1>
    </dataValidation>
    <dataValidation type="list" allowBlank="1" showInputMessage="1" showErrorMessage="1" sqref="L1" xr:uid="{FD69F81F-18F6-4F97-8304-B562060B0148}">
      <formula1>"DE,EN,"</formula1>
    </dataValidation>
  </dataValidations>
  <pageMargins left="0.7" right="0.7" top="0.75" bottom="0.75" header="0.3" footer="0.3"/>
  <pageSetup paperSize="9" scale="6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5885FD-E992-48F9-BFFE-5A77CFC33FA3}">
          <x14:formula1>
            <xm:f>Inverter!$B$4:$B$8</xm:f>
          </x14:formula1>
          <xm:sqref>C13</xm:sqref>
        </x14:dataValidation>
        <x14:dataValidation type="list" allowBlank="1" showInputMessage="1" showErrorMessage="1" xr:uid="{162C545A-F6F8-4E2E-A34E-8174AA9588AA}">
          <x14:formula1>
            <xm:f>'PV modules'!$B4:$B100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F360"/>
  <sheetViews>
    <sheetView zoomScale="90" zoomScaleNormal="90" workbookViewId="0">
      <selection activeCell="L32" sqref="L32"/>
    </sheetView>
  </sheetViews>
  <sheetFormatPr baseColWidth="10" defaultColWidth="11.42578125" defaultRowHeight="15" x14ac:dyDescent="0.25"/>
  <cols>
    <col min="1" max="1" width="3.140625" style="6" customWidth="1"/>
    <col min="2" max="2" width="60.7109375" style="3" customWidth="1"/>
    <col min="3" max="4" width="11.7109375" style="2" customWidth="1"/>
    <col min="5" max="8" width="11.7109375" style="84" customWidth="1"/>
    <col min="9" max="9" width="13.7109375" style="2" customWidth="1"/>
    <col min="10" max="11" width="16.7109375" style="2" customWidth="1"/>
    <col min="12" max="12" width="16.7109375" style="7" customWidth="1"/>
    <col min="13" max="13" width="16.7109375" style="2" customWidth="1"/>
    <col min="14" max="15" width="16.7109375" style="84" customWidth="1"/>
    <col min="16" max="18" width="16.7109375" style="2" customWidth="1"/>
    <col min="19" max="19" width="17.42578125" style="6" customWidth="1"/>
    <col min="20" max="20" width="26.42578125" style="6" bestFit="1" customWidth="1"/>
    <col min="21" max="21" width="35.42578125" style="6" bestFit="1" customWidth="1"/>
    <col min="22" max="24" width="11.42578125" style="6"/>
    <col min="25" max="44" width="11.42578125" style="3"/>
    <col min="45" max="45" width="18.42578125" style="8" customWidth="1"/>
    <col min="46" max="46" width="26.42578125" style="8" customWidth="1"/>
    <col min="47" max="47" width="20.42578125" style="8" customWidth="1"/>
    <col min="48" max="16384" width="11.42578125" style="3"/>
  </cols>
  <sheetData>
    <row r="1" spans="1:214" ht="15.75" thickBot="1" x14ac:dyDescent="0.3"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V1" s="8"/>
      <c r="AW1" s="8"/>
    </row>
    <row r="2" spans="1:214" s="12" customFormat="1" ht="26.25" thickBot="1" x14ac:dyDescent="0.25">
      <c r="A2" s="9"/>
      <c r="B2" s="13" t="s">
        <v>73</v>
      </c>
      <c r="C2" s="29" t="s">
        <v>42</v>
      </c>
      <c r="D2" s="30" t="s">
        <v>44</v>
      </c>
      <c r="E2" s="85" t="s">
        <v>52</v>
      </c>
      <c r="F2" s="87" t="s">
        <v>51</v>
      </c>
      <c r="G2" s="87" t="s">
        <v>21</v>
      </c>
      <c r="H2" s="87" t="s">
        <v>19</v>
      </c>
      <c r="I2" s="15" t="str">
        <f>IF(Tabelle1!$A$1=1,"EFFIZIENZ",IF(Tabelle1!$A$1=2,"EFFICIENCY"))</f>
        <v>EFFIZIENZ</v>
      </c>
      <c r="J2" s="14" t="str">
        <f>IF(Tabelle1!$A$1=1,"TEMP KOEFFIZIENT Uoc",IF(Tabelle1!$A$1,"TEMP COEFFICIENT Uoc"))</f>
        <v>TEMP KOEFFIZIENT Uoc</v>
      </c>
      <c r="K2" s="14" t="str">
        <f>IF(Tabelle1!$A$1=1,"TEMP KOEFFIZIENT Uoc",IF(Tabelle1!$A$1=2,"TEMP COEFFICIENT Uoc"))</f>
        <v>TEMP KOEFFIZIENT Uoc</v>
      </c>
      <c r="L2" s="14" t="str">
        <f>IF(Tabelle1!$A$1=1,"TEMP KOEFFIZIENT Isc",IF(Tabelle1!$A$1=2,"TEMP COEFFICIENT Isc"))</f>
        <v>TEMP KOEFFIZIENT Isc</v>
      </c>
      <c r="M2" s="14" t="str">
        <f>IF(Tabelle1!$A$1=1,"TEMP KOEFFIZIENT Isc",IF(Tabelle1!$A$1=2,"TEMP COEFFICIENT Isc"))</f>
        <v>TEMP KOEFFIZIENT Isc</v>
      </c>
      <c r="N2" s="88" t="str">
        <f>IF(Tabelle1!$A$1=1,"TEMP KOEFFIZIENT Pmpp",IF(Tabelle1!$A$1=2,"TEMP COEFFICIENT Pmpp"))</f>
        <v>TEMP KOEFFIZIENT Pmpp</v>
      </c>
      <c r="O2" s="88" t="str">
        <f>IF(Tabelle1!$A$1=1,"TEMP KOEFFIZIENT Pmpp",IF(Tabelle1!$A$1=2,"TEMP COEFFICIENT Pmpp"))</f>
        <v>TEMP KOEFFIZIENT Pmpp</v>
      </c>
      <c r="P2" s="15" t="str">
        <f>IF(Tabelle1!$A$1=1,"HÖHE",IF(Tabelle1!$A$1=2,"HEIGHT"))</f>
        <v>HÖHE</v>
      </c>
      <c r="Q2" s="15" t="str">
        <f>IF(Tabelle1!$A$1=1,"BREITE",IF(Tabelle1!$A$1=2,"WIDTH"))</f>
        <v>BREITE</v>
      </c>
      <c r="R2" s="16" t="str">
        <f>IF(Tabelle1!$A$1=1,"FLÄCHE",IF(Tabelle1!$A$1=2,"SURFACE"))</f>
        <v>FLÄCHE</v>
      </c>
      <c r="S2" s="10"/>
      <c r="T2" s="11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</row>
    <row r="3" spans="1:214" s="12" customFormat="1" ht="15" customHeight="1" thickBot="1" x14ac:dyDescent="0.3">
      <c r="A3" s="9"/>
      <c r="B3" s="31"/>
      <c r="C3" s="25" t="s">
        <v>33</v>
      </c>
      <c r="D3" s="25" t="s">
        <v>32</v>
      </c>
      <c r="E3" s="86" t="s">
        <v>24</v>
      </c>
      <c r="F3" s="86" t="s">
        <v>24</v>
      </c>
      <c r="G3" s="86" t="s">
        <v>25</v>
      </c>
      <c r="H3" s="86" t="s">
        <v>25</v>
      </c>
      <c r="I3" s="32" t="s">
        <v>28</v>
      </c>
      <c r="J3" s="25" t="s">
        <v>30</v>
      </c>
      <c r="K3" s="25" t="s">
        <v>31</v>
      </c>
      <c r="L3" s="25" t="s">
        <v>30</v>
      </c>
      <c r="M3" s="25" t="s">
        <v>29</v>
      </c>
      <c r="N3" s="86" t="s">
        <v>30</v>
      </c>
      <c r="O3" s="86" t="s">
        <v>43</v>
      </c>
      <c r="P3" s="32" t="s">
        <v>27</v>
      </c>
      <c r="Q3" s="32" t="s">
        <v>27</v>
      </c>
      <c r="R3" s="46" t="s">
        <v>26</v>
      </c>
      <c r="S3" s="33"/>
      <c r="T3" s="11"/>
      <c r="U3" s="3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</row>
    <row r="4" spans="1:214" x14ac:dyDescent="0.25">
      <c r="B4" s="26" t="s">
        <v>7</v>
      </c>
      <c r="C4" s="34">
        <v>25</v>
      </c>
      <c r="D4" s="41">
        <v>410</v>
      </c>
      <c r="E4" s="35">
        <v>37.14</v>
      </c>
      <c r="F4" s="35">
        <v>30.62</v>
      </c>
      <c r="G4" s="35">
        <v>13.92</v>
      </c>
      <c r="H4" s="35">
        <v>13.39</v>
      </c>
      <c r="I4" s="40">
        <v>0.21249999999999999</v>
      </c>
      <c r="J4" s="47">
        <v>-0.28000000000000003</v>
      </c>
      <c r="K4" s="35"/>
      <c r="L4" s="50">
        <v>4.8000000000000001E-2</v>
      </c>
      <c r="M4" s="47"/>
      <c r="N4" s="35"/>
      <c r="O4" s="35"/>
      <c r="P4" s="41">
        <v>1722</v>
      </c>
      <c r="Q4" s="41">
        <v>1134</v>
      </c>
      <c r="R4" s="68">
        <f t="shared" ref="R4:R35" si="0">IF(P4="","",P4*Q4/1000000)</f>
        <v>1.9527479999999999</v>
      </c>
      <c r="S4" s="9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</row>
    <row r="5" spans="1:214" x14ac:dyDescent="0.25">
      <c r="B5" s="27" t="s">
        <v>3</v>
      </c>
      <c r="C5" s="36">
        <v>25</v>
      </c>
      <c r="D5" s="43">
        <v>415</v>
      </c>
      <c r="E5" s="37">
        <v>37.92</v>
      </c>
      <c r="F5" s="37">
        <v>31.32</v>
      </c>
      <c r="G5" s="37">
        <v>13.99</v>
      </c>
      <c r="H5" s="37">
        <v>13.25</v>
      </c>
      <c r="I5" s="42">
        <v>0.21249999999999999</v>
      </c>
      <c r="J5" s="48">
        <v>-0.25</v>
      </c>
      <c r="K5" s="37"/>
      <c r="L5" s="51">
        <v>4.5999999999999999E-2</v>
      </c>
      <c r="M5" s="48"/>
      <c r="N5" s="37"/>
      <c r="O5" s="37"/>
      <c r="P5" s="43">
        <v>1400</v>
      </c>
      <c r="Q5" s="43">
        <v>1086</v>
      </c>
      <c r="R5" s="65">
        <f t="shared" si="0"/>
        <v>1.5204</v>
      </c>
      <c r="S5" s="8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</row>
    <row r="6" spans="1:214" x14ac:dyDescent="0.25">
      <c r="B6" s="27" t="s">
        <v>4</v>
      </c>
      <c r="C6" s="36">
        <v>25</v>
      </c>
      <c r="D6" s="43">
        <v>420</v>
      </c>
      <c r="E6" s="37">
        <v>38.11</v>
      </c>
      <c r="F6" s="37">
        <v>31.51</v>
      </c>
      <c r="G6" s="37">
        <v>14.07</v>
      </c>
      <c r="H6" s="37">
        <v>13.33</v>
      </c>
      <c r="I6" s="42">
        <v>0.21510000000000001</v>
      </c>
      <c r="J6" s="48">
        <v>-0.25</v>
      </c>
      <c r="K6" s="37"/>
      <c r="L6" s="51">
        <v>4.5999999999999999E-2</v>
      </c>
      <c r="M6" s="48"/>
      <c r="N6" s="37"/>
      <c r="O6" s="37"/>
      <c r="P6" s="43">
        <v>1400</v>
      </c>
      <c r="Q6" s="43">
        <v>1086</v>
      </c>
      <c r="R6" s="65">
        <f t="shared" si="0"/>
        <v>1.5204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</row>
    <row r="7" spans="1:214" x14ac:dyDescent="0.25">
      <c r="B7" s="27" t="s">
        <v>5</v>
      </c>
      <c r="C7" s="36">
        <v>25</v>
      </c>
      <c r="D7" s="43">
        <v>425</v>
      </c>
      <c r="E7" s="37">
        <v>38.299999999999997</v>
      </c>
      <c r="F7" s="37">
        <v>31.7</v>
      </c>
      <c r="G7" s="37">
        <v>14.15</v>
      </c>
      <c r="H7" s="37">
        <v>13.41</v>
      </c>
      <c r="I7" s="42">
        <v>0.21759999999999999</v>
      </c>
      <c r="J7" s="48">
        <v>-0.25</v>
      </c>
      <c r="K7" s="37"/>
      <c r="L7" s="51">
        <v>4.5999999999999999E-2</v>
      </c>
      <c r="M7" s="48"/>
      <c r="N7" s="37"/>
      <c r="O7" s="37"/>
      <c r="P7" s="43">
        <v>1400</v>
      </c>
      <c r="Q7" s="43">
        <v>1086</v>
      </c>
      <c r="R7" s="65">
        <f t="shared" si="0"/>
        <v>1.5204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</row>
    <row r="8" spans="1:214" x14ac:dyDescent="0.25">
      <c r="B8" s="27" t="s">
        <v>6</v>
      </c>
      <c r="C8" s="36">
        <v>25</v>
      </c>
      <c r="D8" s="43">
        <v>430</v>
      </c>
      <c r="E8" s="37">
        <v>38.49</v>
      </c>
      <c r="F8" s="37">
        <v>31.88</v>
      </c>
      <c r="G8" s="37">
        <v>14.23</v>
      </c>
      <c r="H8" s="37">
        <v>13.49</v>
      </c>
      <c r="I8" s="42">
        <v>0.22020000000000001</v>
      </c>
      <c r="J8" s="48">
        <v>-0.25</v>
      </c>
      <c r="K8" s="37"/>
      <c r="L8" s="51">
        <v>4.5999999999999999E-2</v>
      </c>
      <c r="M8" s="48"/>
      <c r="N8" s="37">
        <v>-0.28999999999999998</v>
      </c>
      <c r="O8" s="37"/>
      <c r="P8" s="43">
        <v>1400</v>
      </c>
      <c r="Q8" s="43">
        <v>1086</v>
      </c>
      <c r="R8" s="65">
        <f t="shared" si="0"/>
        <v>1.5204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</row>
    <row r="9" spans="1:214" x14ac:dyDescent="0.25">
      <c r="B9" s="27" t="s">
        <v>8</v>
      </c>
      <c r="C9" s="36">
        <v>25</v>
      </c>
      <c r="D9" s="43">
        <v>395</v>
      </c>
      <c r="E9" s="37">
        <v>36.9</v>
      </c>
      <c r="F9" s="37">
        <v>30.32</v>
      </c>
      <c r="G9" s="37">
        <v>13.71</v>
      </c>
      <c r="H9" s="37">
        <v>13.03</v>
      </c>
      <c r="I9" s="42">
        <v>20.23</v>
      </c>
      <c r="J9" s="48">
        <v>-0.28000000000000003</v>
      </c>
      <c r="K9" s="37"/>
      <c r="L9" s="51">
        <v>4.8000000000000001E-2</v>
      </c>
      <c r="M9" s="48"/>
      <c r="N9" s="37">
        <v>-0.28999999999999998</v>
      </c>
      <c r="O9" s="37"/>
      <c r="P9" s="43">
        <v>1360</v>
      </c>
      <c r="Q9" s="43">
        <v>1086</v>
      </c>
      <c r="R9" s="65">
        <f t="shared" si="0"/>
        <v>1.4769600000000001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</row>
    <row r="10" spans="1:214" x14ac:dyDescent="0.25">
      <c r="B10" s="27" t="s">
        <v>9</v>
      </c>
      <c r="C10" s="36">
        <v>25</v>
      </c>
      <c r="D10" s="43">
        <v>400</v>
      </c>
      <c r="E10" s="37">
        <v>39.979999999999997</v>
      </c>
      <c r="F10" s="37">
        <v>30.42</v>
      </c>
      <c r="G10" s="37">
        <v>13.78</v>
      </c>
      <c r="H10" s="37">
        <v>10.15</v>
      </c>
      <c r="I10" s="42">
        <v>0.20480000000000001</v>
      </c>
      <c r="J10" s="48">
        <v>-0.28000000000000003</v>
      </c>
      <c r="K10" s="37"/>
      <c r="L10" s="51">
        <v>4.8000000000000001E-2</v>
      </c>
      <c r="M10" s="48"/>
      <c r="N10" s="37">
        <v>-0.28999999999999998</v>
      </c>
      <c r="O10" s="37"/>
      <c r="P10" s="43">
        <v>1360</v>
      </c>
      <c r="Q10" s="43">
        <v>1086</v>
      </c>
      <c r="R10" s="65">
        <f t="shared" si="0"/>
        <v>1.4769600000000001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</row>
    <row r="11" spans="1:214" x14ac:dyDescent="0.25">
      <c r="B11" s="27" t="s">
        <v>10</v>
      </c>
      <c r="C11" s="36">
        <v>25</v>
      </c>
      <c r="D11" s="43">
        <v>405</v>
      </c>
      <c r="E11" s="37">
        <v>37.06</v>
      </c>
      <c r="F11" s="37">
        <v>30.52</v>
      </c>
      <c r="G11" s="37">
        <v>13.85</v>
      </c>
      <c r="H11" s="37">
        <v>13.27</v>
      </c>
      <c r="I11" s="42">
        <v>0.2074</v>
      </c>
      <c r="J11" s="48">
        <v>-0.28000000000000003</v>
      </c>
      <c r="K11" s="37"/>
      <c r="L11" s="51">
        <v>4.8000000000000001E-2</v>
      </c>
      <c r="M11" s="48"/>
      <c r="N11" s="37">
        <v>-0.28999999999999998</v>
      </c>
      <c r="O11" s="37"/>
      <c r="P11" s="43">
        <v>1360</v>
      </c>
      <c r="Q11" s="43">
        <v>1086</v>
      </c>
      <c r="R11" s="65">
        <f t="shared" si="0"/>
        <v>1.4769600000000001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</row>
    <row r="12" spans="1:214" x14ac:dyDescent="0.25">
      <c r="B12" s="27" t="s">
        <v>11</v>
      </c>
      <c r="C12" s="36">
        <v>25</v>
      </c>
      <c r="D12" s="43">
        <v>410</v>
      </c>
      <c r="E12" s="37">
        <v>37.14</v>
      </c>
      <c r="F12" s="37">
        <v>30.62</v>
      </c>
      <c r="G12" s="37">
        <v>13.92</v>
      </c>
      <c r="H12" s="37">
        <v>13.39</v>
      </c>
      <c r="I12" s="42">
        <v>0.21</v>
      </c>
      <c r="J12" s="48">
        <v>-0.28000000000000003</v>
      </c>
      <c r="K12" s="37"/>
      <c r="L12" s="51">
        <v>4.8000000000000001E-2</v>
      </c>
      <c r="M12" s="48"/>
      <c r="N12" s="37">
        <v>-0.28999999999999998</v>
      </c>
      <c r="O12" s="37"/>
      <c r="P12" s="43">
        <v>1360</v>
      </c>
      <c r="Q12" s="43">
        <v>1086</v>
      </c>
      <c r="R12" s="65">
        <f t="shared" si="0"/>
        <v>1.4769600000000001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</row>
    <row r="13" spans="1:214" x14ac:dyDescent="0.25">
      <c r="B13" s="27" t="s">
        <v>12</v>
      </c>
      <c r="C13" s="36">
        <v>25</v>
      </c>
      <c r="D13" s="43">
        <v>415</v>
      </c>
      <c r="E13" s="37">
        <v>37.31</v>
      </c>
      <c r="F13" s="37">
        <v>30.79</v>
      </c>
      <c r="G13" s="37">
        <v>14.01</v>
      </c>
      <c r="H13" s="37">
        <v>13.48</v>
      </c>
      <c r="I13" s="42">
        <v>0.21249999999999999</v>
      </c>
      <c r="J13" s="48">
        <v>-0.28000000000000003</v>
      </c>
      <c r="K13" s="37"/>
      <c r="L13" s="51">
        <v>4.8000000000000001E-2</v>
      </c>
      <c r="M13" s="48"/>
      <c r="N13" s="37">
        <v>-0.28999999999999998</v>
      </c>
      <c r="O13" s="37"/>
      <c r="P13" s="43">
        <v>1360</v>
      </c>
      <c r="Q13" s="36">
        <v>1086</v>
      </c>
      <c r="R13" s="71">
        <f t="shared" si="0"/>
        <v>1.4769600000000001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</row>
    <row r="14" spans="1:214" x14ac:dyDescent="0.25">
      <c r="B14" s="27" t="s">
        <v>13</v>
      </c>
      <c r="C14" s="36">
        <v>25</v>
      </c>
      <c r="D14" s="43">
        <v>395</v>
      </c>
      <c r="E14" s="37">
        <v>36.67</v>
      </c>
      <c r="F14" s="37">
        <v>30.67</v>
      </c>
      <c r="G14" s="37">
        <v>13.42</v>
      </c>
      <c r="H14" s="37">
        <v>12.88</v>
      </c>
      <c r="I14" s="42">
        <v>0.20230000000000001</v>
      </c>
      <c r="J14" s="48">
        <v>-0.28000000000000003</v>
      </c>
      <c r="K14" s="37"/>
      <c r="L14" s="51">
        <v>4.8000000000000001E-2</v>
      </c>
      <c r="M14" s="48"/>
      <c r="N14" s="37"/>
      <c r="O14" s="37"/>
      <c r="P14" s="43">
        <v>1722</v>
      </c>
      <c r="Q14" s="36">
        <v>1134</v>
      </c>
      <c r="R14" s="71">
        <f t="shared" si="0"/>
        <v>1.9527479999999999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</row>
    <row r="15" spans="1:214" x14ac:dyDescent="0.25">
      <c r="B15" s="27" t="s">
        <v>15</v>
      </c>
      <c r="C15" s="36">
        <v>25</v>
      </c>
      <c r="D15" s="43">
        <v>400</v>
      </c>
      <c r="E15" s="37">
        <v>36.869999999999997</v>
      </c>
      <c r="F15" s="37">
        <v>30.85</v>
      </c>
      <c r="G15" s="37">
        <v>13.52</v>
      </c>
      <c r="H15" s="37">
        <v>12.97</v>
      </c>
      <c r="I15" s="42">
        <v>0.20480000000000001</v>
      </c>
      <c r="J15" s="48">
        <v>-0.28000000000000003</v>
      </c>
      <c r="K15" s="37"/>
      <c r="L15" s="51">
        <v>4.8000000000000001E-2</v>
      </c>
      <c r="M15" s="48"/>
      <c r="N15" s="37"/>
      <c r="O15" s="37"/>
      <c r="P15" s="43">
        <v>1722</v>
      </c>
      <c r="Q15" s="36">
        <v>1134</v>
      </c>
      <c r="R15" s="71">
        <f t="shared" si="0"/>
        <v>1.9527479999999999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</row>
    <row r="16" spans="1:214" x14ac:dyDescent="0.25">
      <c r="B16" s="27" t="s">
        <v>14</v>
      </c>
      <c r="C16" s="36">
        <v>25</v>
      </c>
      <c r="D16" s="43">
        <v>405</v>
      </c>
      <c r="E16" s="37">
        <v>37.049999999999997</v>
      </c>
      <c r="F16" s="37">
        <v>31.02</v>
      </c>
      <c r="G16" s="37">
        <v>13.62</v>
      </c>
      <c r="H16" s="37">
        <v>13.06</v>
      </c>
      <c r="I16" s="42">
        <v>0.2074</v>
      </c>
      <c r="J16" s="48">
        <v>-0.28000000000000003</v>
      </c>
      <c r="K16" s="37"/>
      <c r="L16" s="51">
        <v>4.8000000000000001E-2</v>
      </c>
      <c r="M16" s="48"/>
      <c r="N16" s="37"/>
      <c r="O16" s="37"/>
      <c r="P16" s="43">
        <v>1722</v>
      </c>
      <c r="Q16" s="36">
        <v>1134</v>
      </c>
      <c r="R16" s="71">
        <f t="shared" si="0"/>
        <v>1.9527479999999999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</row>
    <row r="17" spans="2:214" x14ac:dyDescent="0.25">
      <c r="B17" s="27" t="s">
        <v>16</v>
      </c>
      <c r="C17" s="36">
        <v>25</v>
      </c>
      <c r="D17" s="43">
        <v>410</v>
      </c>
      <c r="E17" s="37">
        <v>37.229999999999997</v>
      </c>
      <c r="F17" s="37">
        <v>31.18</v>
      </c>
      <c r="G17" s="37">
        <v>13.72</v>
      </c>
      <c r="H17" s="37">
        <v>13.15</v>
      </c>
      <c r="I17" s="42">
        <v>0.21</v>
      </c>
      <c r="J17" s="48">
        <v>-0.28000000000000003</v>
      </c>
      <c r="K17" s="37"/>
      <c r="L17" s="51">
        <v>4.8000000000000001E-2</v>
      </c>
      <c r="M17" s="48"/>
      <c r="N17" s="37"/>
      <c r="O17" s="37"/>
      <c r="P17" s="43">
        <v>1722</v>
      </c>
      <c r="Q17" s="36">
        <v>1134</v>
      </c>
      <c r="R17" s="71">
        <f t="shared" si="0"/>
        <v>1.9527479999999999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</row>
    <row r="18" spans="2:214" x14ac:dyDescent="0.25">
      <c r="B18" s="27" t="s">
        <v>17</v>
      </c>
      <c r="C18" s="36">
        <v>25</v>
      </c>
      <c r="D18" s="43">
        <v>415</v>
      </c>
      <c r="E18" s="37">
        <v>37.42</v>
      </c>
      <c r="F18" s="37">
        <v>31.35</v>
      </c>
      <c r="G18" s="37">
        <v>13.82</v>
      </c>
      <c r="H18" s="37">
        <v>13.24</v>
      </c>
      <c r="I18" s="42">
        <v>0.21249999999999999</v>
      </c>
      <c r="J18" s="48">
        <v>-0.28000000000000003</v>
      </c>
      <c r="K18" s="37"/>
      <c r="L18" s="51">
        <v>4.8000000000000001E-2</v>
      </c>
      <c r="M18" s="48"/>
      <c r="N18" s="37"/>
      <c r="O18" s="37"/>
      <c r="P18" s="43">
        <v>1722</v>
      </c>
      <c r="Q18" s="36">
        <v>1134</v>
      </c>
      <c r="R18" s="71">
        <f t="shared" si="0"/>
        <v>1.9527479999999999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</row>
    <row r="19" spans="2:214" x14ac:dyDescent="0.25">
      <c r="B19" s="27" t="s">
        <v>18</v>
      </c>
      <c r="C19" s="36">
        <v>25</v>
      </c>
      <c r="D19" s="43">
        <v>415</v>
      </c>
      <c r="E19" s="37">
        <v>34.619999999999997</v>
      </c>
      <c r="F19" s="37">
        <v>28.24</v>
      </c>
      <c r="G19" s="37">
        <v>10.84</v>
      </c>
      <c r="H19" s="37">
        <v>10.41</v>
      </c>
      <c r="I19" s="42">
        <v>0.21249999999999999</v>
      </c>
      <c r="J19" s="48">
        <v>-0.28000000000000003</v>
      </c>
      <c r="K19" s="37"/>
      <c r="L19" s="51">
        <v>4.8000000000000001E-2</v>
      </c>
      <c r="M19" s="48"/>
      <c r="N19" s="37"/>
      <c r="O19" s="37"/>
      <c r="P19" s="43">
        <v>1722</v>
      </c>
      <c r="Q19" s="36">
        <v>1134</v>
      </c>
      <c r="R19" s="71">
        <f t="shared" si="0"/>
        <v>1.9527479999999999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</row>
    <row r="20" spans="2:214" x14ac:dyDescent="0.25">
      <c r="B20" s="27" t="s">
        <v>45</v>
      </c>
      <c r="C20" s="36">
        <v>25</v>
      </c>
      <c r="D20" s="43">
        <v>415</v>
      </c>
      <c r="E20" s="37">
        <v>37.700000000000003</v>
      </c>
      <c r="F20" s="37">
        <v>31.74</v>
      </c>
      <c r="G20" s="37">
        <v>13.96</v>
      </c>
      <c r="H20" s="37">
        <v>13.08</v>
      </c>
      <c r="I20" s="42">
        <v>0.20799999999999999</v>
      </c>
      <c r="J20" s="48">
        <v>-0.28000000000000003</v>
      </c>
      <c r="K20" s="37"/>
      <c r="L20" s="51">
        <v>0.04</v>
      </c>
      <c r="M20" s="48"/>
      <c r="N20" s="37">
        <v>-0.39</v>
      </c>
      <c r="O20" s="37"/>
      <c r="P20" s="43">
        <v>1740</v>
      </c>
      <c r="Q20" s="36">
        <v>1145</v>
      </c>
      <c r="R20" s="71">
        <f t="shared" si="0"/>
        <v>1.9923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</row>
    <row r="21" spans="2:214" x14ac:dyDescent="0.25">
      <c r="B21" s="27" t="s">
        <v>46</v>
      </c>
      <c r="C21" s="36">
        <v>25</v>
      </c>
      <c r="D21" s="43">
        <v>410</v>
      </c>
      <c r="E21" s="67">
        <v>46.6</v>
      </c>
      <c r="F21" s="37">
        <v>38.799999999999997</v>
      </c>
      <c r="G21" s="37">
        <v>11.07</v>
      </c>
      <c r="H21" s="37">
        <v>10.57</v>
      </c>
      <c r="I21" s="73">
        <v>0.2092</v>
      </c>
      <c r="J21" s="48">
        <v>-0.27</v>
      </c>
      <c r="K21" s="37"/>
      <c r="L21" s="51">
        <v>0.04</v>
      </c>
      <c r="M21" s="48"/>
      <c r="N21" s="37">
        <v>-0.39</v>
      </c>
      <c r="O21" s="37"/>
      <c r="P21" s="43">
        <v>1719</v>
      </c>
      <c r="Q21" s="36">
        <v>1140</v>
      </c>
      <c r="R21" s="71">
        <f t="shared" si="0"/>
        <v>1.95966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</row>
    <row r="22" spans="2:214" x14ac:dyDescent="0.25">
      <c r="B22" s="27" t="s">
        <v>87</v>
      </c>
      <c r="C22" s="36">
        <v>25</v>
      </c>
      <c r="D22" s="43">
        <v>430</v>
      </c>
      <c r="E22" s="37">
        <v>38.5</v>
      </c>
      <c r="F22" s="37">
        <v>32.119999999999997</v>
      </c>
      <c r="G22" s="37">
        <v>14.14</v>
      </c>
      <c r="H22" s="37">
        <v>13.39</v>
      </c>
      <c r="I22" s="42">
        <v>0.215</v>
      </c>
      <c r="J22" s="48">
        <v>-0.26</v>
      </c>
      <c r="K22" s="37"/>
      <c r="L22" s="51">
        <v>4.5999999999999999E-2</v>
      </c>
      <c r="M22" s="48"/>
      <c r="N22" s="37">
        <v>-0.3</v>
      </c>
      <c r="O22" s="37"/>
      <c r="P22" s="43">
        <v>1762</v>
      </c>
      <c r="Q22" s="36">
        <v>1134</v>
      </c>
      <c r="R22" s="71">
        <f t="shared" si="0"/>
        <v>1.998108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</row>
    <row r="23" spans="2:214" x14ac:dyDescent="0.25">
      <c r="B23" s="27" t="s">
        <v>93</v>
      </c>
      <c r="C23" s="36">
        <v>25</v>
      </c>
      <c r="D23" s="43">
        <v>430</v>
      </c>
      <c r="E23" s="37">
        <v>39.43</v>
      </c>
      <c r="F23" s="37">
        <v>33.159999999999997</v>
      </c>
      <c r="G23" s="37">
        <v>14</v>
      </c>
      <c r="H23" s="37">
        <v>12.97</v>
      </c>
      <c r="I23" s="42">
        <v>0.22</v>
      </c>
      <c r="J23" s="48">
        <v>-0.23</v>
      </c>
      <c r="K23" s="37"/>
      <c r="L23" s="51">
        <v>0.05</v>
      </c>
      <c r="M23" s="48"/>
      <c r="N23" s="37">
        <v>-0.28999999999999998</v>
      </c>
      <c r="O23" s="37"/>
      <c r="P23" s="43">
        <v>1722</v>
      </c>
      <c r="Q23" s="36">
        <v>1134</v>
      </c>
      <c r="R23" s="71">
        <f t="shared" si="0"/>
        <v>1.9527479999999999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</row>
    <row r="24" spans="2:214" x14ac:dyDescent="0.25">
      <c r="B24" s="27" t="s">
        <v>94</v>
      </c>
      <c r="C24" s="36">
        <v>25</v>
      </c>
      <c r="D24" s="43">
        <v>380</v>
      </c>
      <c r="E24" s="37">
        <v>41.7</v>
      </c>
      <c r="F24" s="37">
        <v>34.6</v>
      </c>
      <c r="G24" s="37">
        <v>11.98</v>
      </c>
      <c r="H24" s="37">
        <v>10.99</v>
      </c>
      <c r="I24" s="42">
        <v>0.20899999999999999</v>
      </c>
      <c r="J24" s="48">
        <v>-0.26</v>
      </c>
      <c r="K24" s="37"/>
      <c r="L24" s="51">
        <v>4.2000000000000003E-2</v>
      </c>
      <c r="M24" s="48"/>
      <c r="N24" s="37">
        <v>-0.33</v>
      </c>
      <c r="O24" s="37"/>
      <c r="P24" s="43">
        <v>1755</v>
      </c>
      <c r="Q24" s="36">
        <v>1038</v>
      </c>
      <c r="R24" s="71">
        <f t="shared" si="0"/>
        <v>1.82169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</row>
    <row r="25" spans="2:214" x14ac:dyDescent="0.25">
      <c r="B25" s="27" t="s">
        <v>95</v>
      </c>
      <c r="C25" s="36">
        <v>25</v>
      </c>
      <c r="D25" s="43">
        <v>445</v>
      </c>
      <c r="E25" s="37">
        <v>40.590000000000003</v>
      </c>
      <c r="F25" s="37">
        <v>33.6</v>
      </c>
      <c r="G25" s="37">
        <v>14.02</v>
      </c>
      <c r="H25" s="37">
        <v>13.25</v>
      </c>
      <c r="I25" s="42">
        <v>0.22800000000000001</v>
      </c>
      <c r="J25" s="48">
        <v>-0.22</v>
      </c>
      <c r="K25" s="37"/>
      <c r="L25" s="51">
        <v>0.05</v>
      </c>
      <c r="M25" s="48"/>
      <c r="N25" s="37">
        <v>-0.26</v>
      </c>
      <c r="O25" s="37"/>
      <c r="P25" s="43">
        <v>1722</v>
      </c>
      <c r="Q25" s="36">
        <v>1134</v>
      </c>
      <c r="R25" s="71">
        <f t="shared" si="0"/>
        <v>1.9527479999999999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</row>
    <row r="26" spans="2:214" x14ac:dyDescent="0.25">
      <c r="B26" s="27" t="s">
        <v>96</v>
      </c>
      <c r="C26" s="36">
        <v>25</v>
      </c>
      <c r="D26" s="43">
        <v>235</v>
      </c>
      <c r="E26" s="37">
        <v>37.630000000000003</v>
      </c>
      <c r="F26" s="37">
        <v>30.33</v>
      </c>
      <c r="G26" s="37">
        <v>8.32</v>
      </c>
      <c r="H26" s="37">
        <v>7.75</v>
      </c>
      <c r="I26" s="42">
        <v>0.14499999999999999</v>
      </c>
      <c r="J26" s="48">
        <v>-0.28999999999999998</v>
      </c>
      <c r="K26" s="37"/>
      <c r="L26" s="51">
        <v>0.04</v>
      </c>
      <c r="M26" s="48"/>
      <c r="N26" s="37">
        <v>-0.42</v>
      </c>
      <c r="O26" s="37"/>
      <c r="P26" s="43">
        <v>1639</v>
      </c>
      <c r="Q26" s="36">
        <v>989</v>
      </c>
      <c r="R26" s="71">
        <f t="shared" si="0"/>
        <v>1.6209709999999999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</row>
    <row r="27" spans="2:214" x14ac:dyDescent="0.25">
      <c r="B27" s="27" t="s">
        <v>97</v>
      </c>
      <c r="C27" s="36">
        <v>25</v>
      </c>
      <c r="D27" s="43">
        <v>480</v>
      </c>
      <c r="E27" s="37">
        <v>42.71</v>
      </c>
      <c r="F27" s="37">
        <v>35.380000000000003</v>
      </c>
      <c r="G27" s="37">
        <v>14.31</v>
      </c>
      <c r="H27" s="37">
        <v>13.57</v>
      </c>
      <c r="I27" s="42">
        <v>0.22239999999999999</v>
      </c>
      <c r="J27" s="48">
        <v>-0.25</v>
      </c>
      <c r="K27" s="37"/>
      <c r="L27" s="51">
        <v>4.4999999999999998E-2</v>
      </c>
      <c r="M27" s="48"/>
      <c r="N27" s="37">
        <v>-0.28999999999999998</v>
      </c>
      <c r="O27" s="37"/>
      <c r="P27" s="43">
        <v>1903</v>
      </c>
      <c r="Q27" s="36">
        <v>1134</v>
      </c>
      <c r="R27" s="71">
        <f t="shared" si="0"/>
        <v>2.1580020000000002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</row>
    <row r="28" spans="2:214" x14ac:dyDescent="0.25">
      <c r="B28" s="27" t="s">
        <v>98</v>
      </c>
      <c r="C28" s="36">
        <v>25</v>
      </c>
      <c r="D28" s="43">
        <v>395</v>
      </c>
      <c r="E28" s="37">
        <v>37.14</v>
      </c>
      <c r="F28" s="37">
        <v>30.98</v>
      </c>
      <c r="G28" s="37">
        <v>13.58</v>
      </c>
      <c r="H28" s="37">
        <v>12.76</v>
      </c>
      <c r="I28" s="42">
        <v>0.19800000000000001</v>
      </c>
      <c r="J28" s="48">
        <v>-0.28000000000000003</v>
      </c>
      <c r="K28" s="83"/>
      <c r="L28" s="51">
        <v>0.04</v>
      </c>
      <c r="M28" s="48"/>
      <c r="N28" s="37">
        <v>-0.39</v>
      </c>
      <c r="O28" s="37"/>
      <c r="P28" s="43">
        <v>1740</v>
      </c>
      <c r="Q28" s="36">
        <v>1145</v>
      </c>
      <c r="R28" s="71">
        <f t="shared" si="0"/>
        <v>1.9923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</row>
    <row r="29" spans="2:214" x14ac:dyDescent="0.25">
      <c r="B29" s="27" t="s">
        <v>125</v>
      </c>
      <c r="C29" s="36">
        <v>25</v>
      </c>
      <c r="D29" s="43">
        <v>445</v>
      </c>
      <c r="E29" s="37">
        <v>36.619999999999997</v>
      </c>
      <c r="F29" s="37">
        <v>30.72</v>
      </c>
      <c r="G29" s="37">
        <v>15.42</v>
      </c>
      <c r="H29" s="37">
        <v>14.49</v>
      </c>
      <c r="I29" s="42">
        <v>0.223</v>
      </c>
      <c r="J29" s="48">
        <v>-0.22</v>
      </c>
      <c r="K29" s="83"/>
      <c r="L29" s="69">
        <v>0.04</v>
      </c>
      <c r="M29" s="48"/>
      <c r="N29" s="37">
        <v>-0.24</v>
      </c>
      <c r="O29" s="37"/>
      <c r="P29" s="43">
        <v>1762</v>
      </c>
      <c r="Q29" s="36">
        <v>1134</v>
      </c>
      <c r="R29" s="71">
        <f t="shared" si="0"/>
        <v>1.998108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</row>
    <row r="30" spans="2:214" x14ac:dyDescent="0.25">
      <c r="B30" s="27" t="s">
        <v>99</v>
      </c>
      <c r="C30" s="36">
        <v>25</v>
      </c>
      <c r="D30" s="43">
        <v>450</v>
      </c>
      <c r="E30" s="37">
        <v>39.4</v>
      </c>
      <c r="F30" s="37">
        <v>33.39</v>
      </c>
      <c r="G30" s="37">
        <v>14.28</v>
      </c>
      <c r="H30" s="37">
        <v>13.48</v>
      </c>
      <c r="I30" s="42">
        <v>0.22500000000000001</v>
      </c>
      <c r="J30" s="48">
        <v>-0.25</v>
      </c>
      <c r="K30" s="83"/>
      <c r="L30" s="51">
        <v>4.2999999999999997E-2</v>
      </c>
      <c r="M30" s="48"/>
      <c r="N30" s="37">
        <v>-0.28999999999999998</v>
      </c>
      <c r="O30" s="37"/>
      <c r="P30" s="43">
        <v>1762</v>
      </c>
      <c r="Q30" s="36">
        <v>1134</v>
      </c>
      <c r="R30" s="71">
        <f t="shared" si="0"/>
        <v>1.998108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</row>
    <row r="31" spans="2:214" x14ac:dyDescent="0.25">
      <c r="B31" s="27" t="s">
        <v>128</v>
      </c>
      <c r="C31" s="36">
        <v>25</v>
      </c>
      <c r="D31" s="43">
        <v>435</v>
      </c>
      <c r="E31" s="37">
        <v>38.200000000000003</v>
      </c>
      <c r="F31" s="37">
        <v>31.6</v>
      </c>
      <c r="G31" s="37">
        <v>14.4</v>
      </c>
      <c r="H31" s="37">
        <v>13.8</v>
      </c>
      <c r="I31" s="42">
        <v>0.223</v>
      </c>
      <c r="J31" s="48">
        <v>-0.25</v>
      </c>
      <c r="K31" s="83"/>
      <c r="L31" s="51">
        <v>4.4999999999999998E-2</v>
      </c>
      <c r="M31" s="48"/>
      <c r="N31" s="37">
        <v>-0.3</v>
      </c>
      <c r="O31" s="37"/>
      <c r="P31" s="43">
        <v>1715</v>
      </c>
      <c r="Q31" s="36">
        <v>1128</v>
      </c>
      <c r="R31" s="71">
        <f t="shared" si="0"/>
        <v>1.93452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</row>
    <row r="32" spans="2:214" x14ac:dyDescent="0.25">
      <c r="B32" s="27" t="s">
        <v>129</v>
      </c>
      <c r="C32" s="36">
        <v>25</v>
      </c>
      <c r="D32" s="43">
        <v>530</v>
      </c>
      <c r="E32" s="37">
        <v>46.7</v>
      </c>
      <c r="F32" s="37">
        <v>38.799999999999997</v>
      </c>
      <c r="G32" s="37">
        <v>14.4</v>
      </c>
      <c r="H32" s="37">
        <v>13.8</v>
      </c>
      <c r="I32" s="42">
        <v>0.223</v>
      </c>
      <c r="J32" s="48">
        <v>-0.25</v>
      </c>
      <c r="K32" s="37"/>
      <c r="L32" s="51">
        <v>4.4999999999999998E-2</v>
      </c>
      <c r="M32" s="51"/>
      <c r="N32" s="37">
        <v>-0.3</v>
      </c>
      <c r="O32" s="37"/>
      <c r="P32" s="43">
        <v>2087</v>
      </c>
      <c r="Q32" s="36">
        <v>1128</v>
      </c>
      <c r="R32" s="71">
        <f t="shared" si="0"/>
        <v>2.354136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</row>
    <row r="33" spans="1:214" x14ac:dyDescent="0.25">
      <c r="B33" s="27"/>
      <c r="C33" s="36"/>
      <c r="D33" s="43"/>
      <c r="E33" s="37"/>
      <c r="F33" s="37"/>
      <c r="G33" s="37"/>
      <c r="H33" s="37"/>
      <c r="I33" s="42"/>
      <c r="J33" s="48"/>
      <c r="K33" s="72"/>
      <c r="L33" s="51"/>
      <c r="M33" s="48"/>
      <c r="N33" s="37"/>
      <c r="O33" s="37"/>
      <c r="P33" s="43"/>
      <c r="Q33" s="36"/>
      <c r="R33" s="71" t="str">
        <f t="shared" si="0"/>
        <v/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</row>
    <row r="34" spans="1:214" x14ac:dyDescent="0.25">
      <c r="A34" s="70"/>
      <c r="B34" s="27"/>
      <c r="C34" s="36"/>
      <c r="D34" s="43"/>
      <c r="E34" s="37"/>
      <c r="F34" s="37"/>
      <c r="G34" s="37"/>
      <c r="H34" s="37"/>
      <c r="I34" s="42"/>
      <c r="J34" s="48"/>
      <c r="K34" s="72"/>
      <c r="L34" s="51"/>
      <c r="M34" s="48"/>
      <c r="N34" s="37"/>
      <c r="O34" s="37"/>
      <c r="P34" s="43"/>
      <c r="Q34" s="36"/>
      <c r="R34" s="71" t="str">
        <f t="shared" si="0"/>
        <v/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</row>
    <row r="35" spans="1:214" x14ac:dyDescent="0.25">
      <c r="A35" s="70"/>
      <c r="B35" s="27"/>
      <c r="C35" s="36"/>
      <c r="D35" s="43"/>
      <c r="E35" s="37"/>
      <c r="F35" s="37"/>
      <c r="G35" s="37"/>
      <c r="H35" s="37"/>
      <c r="I35" s="42"/>
      <c r="J35" s="48"/>
      <c r="K35" s="72"/>
      <c r="L35" s="51"/>
      <c r="M35" s="48"/>
      <c r="N35" s="37"/>
      <c r="O35" s="37"/>
      <c r="P35" s="43"/>
      <c r="Q35" s="36"/>
      <c r="R35" s="71" t="str">
        <f t="shared" si="0"/>
        <v/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</row>
    <row r="36" spans="1:214" x14ac:dyDescent="0.25">
      <c r="A36" s="70"/>
      <c r="B36" s="27"/>
      <c r="C36" s="36"/>
      <c r="D36" s="43"/>
      <c r="E36" s="37"/>
      <c r="F36" s="37"/>
      <c r="G36" s="37"/>
      <c r="H36" s="37"/>
      <c r="I36" s="42"/>
      <c r="J36" s="48"/>
      <c r="K36" s="72"/>
      <c r="L36" s="51"/>
      <c r="M36" s="48"/>
      <c r="N36" s="37"/>
      <c r="O36" s="37"/>
      <c r="P36" s="43"/>
      <c r="Q36" s="36"/>
      <c r="R36" s="71" t="str">
        <f t="shared" ref="R36:R68" si="1">IF(P36="","",P36*Q36/1000000)</f>
        <v/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</row>
    <row r="37" spans="1:214" x14ac:dyDescent="0.25">
      <c r="A37" s="70"/>
      <c r="B37" s="27"/>
      <c r="C37" s="36"/>
      <c r="D37" s="43"/>
      <c r="E37" s="37"/>
      <c r="F37" s="37"/>
      <c r="G37" s="37"/>
      <c r="H37" s="37"/>
      <c r="I37" s="42"/>
      <c r="J37" s="48"/>
      <c r="K37" s="72"/>
      <c r="L37" s="51"/>
      <c r="M37" s="48"/>
      <c r="N37" s="37"/>
      <c r="O37" s="37"/>
      <c r="P37" s="43"/>
      <c r="Q37" s="36"/>
      <c r="R37" s="71" t="str">
        <f t="shared" si="1"/>
        <v/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</row>
    <row r="38" spans="1:214" x14ac:dyDescent="0.25">
      <c r="A38" s="70"/>
      <c r="B38" s="27"/>
      <c r="C38" s="36"/>
      <c r="D38" s="43"/>
      <c r="E38" s="37"/>
      <c r="F38" s="37"/>
      <c r="G38" s="37"/>
      <c r="H38" s="37"/>
      <c r="I38" s="42"/>
      <c r="J38" s="48"/>
      <c r="K38" s="72"/>
      <c r="L38" s="51"/>
      <c r="M38" s="48"/>
      <c r="N38" s="37"/>
      <c r="O38" s="37"/>
      <c r="P38" s="43"/>
      <c r="Q38" s="36"/>
      <c r="R38" s="71" t="str">
        <f t="shared" si="1"/>
        <v/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</row>
    <row r="39" spans="1:214" x14ac:dyDescent="0.25">
      <c r="A39" s="70"/>
      <c r="B39" s="27"/>
      <c r="C39" s="36"/>
      <c r="D39" s="43"/>
      <c r="E39" s="37"/>
      <c r="F39" s="37"/>
      <c r="G39" s="37"/>
      <c r="H39" s="37"/>
      <c r="I39" s="42"/>
      <c r="J39" s="48"/>
      <c r="K39" s="72"/>
      <c r="L39" s="51"/>
      <c r="M39" s="48"/>
      <c r="N39" s="37"/>
      <c r="O39" s="37"/>
      <c r="P39" s="43"/>
      <c r="Q39" s="36"/>
      <c r="R39" s="71" t="str">
        <f t="shared" si="1"/>
        <v/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</row>
    <row r="40" spans="1:214" x14ac:dyDescent="0.25">
      <c r="A40" s="70"/>
      <c r="B40" s="27"/>
      <c r="C40" s="36"/>
      <c r="D40" s="43"/>
      <c r="E40" s="37"/>
      <c r="F40" s="37"/>
      <c r="G40" s="37"/>
      <c r="H40" s="37"/>
      <c r="I40" s="42"/>
      <c r="J40" s="48"/>
      <c r="K40" s="72"/>
      <c r="L40" s="51"/>
      <c r="M40" s="48"/>
      <c r="N40" s="37"/>
      <c r="O40" s="37"/>
      <c r="P40" s="43"/>
      <c r="Q40" s="36"/>
      <c r="R40" s="71" t="str">
        <f t="shared" si="1"/>
        <v/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</row>
    <row r="41" spans="1:214" x14ac:dyDescent="0.25">
      <c r="A41" s="70"/>
      <c r="B41" s="27"/>
      <c r="C41" s="36"/>
      <c r="D41" s="43"/>
      <c r="E41" s="37"/>
      <c r="F41" s="37"/>
      <c r="G41" s="37"/>
      <c r="H41" s="37"/>
      <c r="I41" s="42"/>
      <c r="J41" s="48"/>
      <c r="K41" s="72"/>
      <c r="L41" s="51"/>
      <c r="M41" s="48"/>
      <c r="N41" s="37"/>
      <c r="O41" s="37"/>
      <c r="P41" s="43"/>
      <c r="Q41" s="36"/>
      <c r="R41" s="71" t="str">
        <f t="shared" si="1"/>
        <v/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</row>
    <row r="42" spans="1:214" x14ac:dyDescent="0.25">
      <c r="A42" s="70"/>
      <c r="B42" s="27"/>
      <c r="C42" s="36"/>
      <c r="D42" s="43"/>
      <c r="E42" s="37"/>
      <c r="F42" s="37"/>
      <c r="G42" s="37"/>
      <c r="H42" s="37"/>
      <c r="I42" s="42"/>
      <c r="J42" s="48"/>
      <c r="K42" s="72"/>
      <c r="L42" s="51"/>
      <c r="M42" s="48"/>
      <c r="N42" s="37"/>
      <c r="O42" s="37"/>
      <c r="P42" s="43"/>
      <c r="Q42" s="36"/>
      <c r="R42" s="71" t="str">
        <f t="shared" si="1"/>
        <v/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</row>
    <row r="43" spans="1:214" x14ac:dyDescent="0.25">
      <c r="A43" s="70"/>
      <c r="B43" s="27"/>
      <c r="C43" s="36"/>
      <c r="D43" s="43"/>
      <c r="E43" s="37"/>
      <c r="F43" s="37"/>
      <c r="G43" s="37"/>
      <c r="H43" s="37"/>
      <c r="I43" s="42"/>
      <c r="J43" s="48"/>
      <c r="K43" s="72"/>
      <c r="L43" s="51"/>
      <c r="M43" s="48"/>
      <c r="N43" s="37"/>
      <c r="O43" s="37"/>
      <c r="P43" s="43"/>
      <c r="Q43" s="36"/>
      <c r="R43" s="71" t="str">
        <f t="shared" si="1"/>
        <v/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</row>
    <row r="44" spans="1:214" x14ac:dyDescent="0.25">
      <c r="A44" s="70"/>
      <c r="B44" s="27"/>
      <c r="C44" s="36"/>
      <c r="D44" s="43"/>
      <c r="E44" s="37"/>
      <c r="F44" s="37"/>
      <c r="G44" s="37"/>
      <c r="H44" s="37"/>
      <c r="I44" s="42"/>
      <c r="J44" s="48"/>
      <c r="K44" s="72"/>
      <c r="L44" s="51"/>
      <c r="M44" s="48"/>
      <c r="N44" s="37"/>
      <c r="O44" s="37"/>
      <c r="P44" s="43"/>
      <c r="Q44" s="36"/>
      <c r="R44" s="71" t="str">
        <f t="shared" si="1"/>
        <v/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</row>
    <row r="45" spans="1:214" x14ac:dyDescent="0.25">
      <c r="A45" s="70"/>
      <c r="B45" s="27"/>
      <c r="C45" s="36"/>
      <c r="D45" s="43"/>
      <c r="E45" s="37"/>
      <c r="F45" s="37"/>
      <c r="G45" s="37"/>
      <c r="H45" s="37"/>
      <c r="I45" s="42"/>
      <c r="J45" s="48"/>
      <c r="K45" s="72"/>
      <c r="L45" s="51"/>
      <c r="M45" s="48"/>
      <c r="N45" s="37"/>
      <c r="O45" s="37"/>
      <c r="P45" s="43"/>
      <c r="Q45" s="36"/>
      <c r="R45" s="71" t="str">
        <f t="shared" si="1"/>
        <v/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</row>
    <row r="46" spans="1:214" x14ac:dyDescent="0.25">
      <c r="A46" s="70"/>
      <c r="B46" s="27"/>
      <c r="C46" s="36"/>
      <c r="D46" s="43"/>
      <c r="E46" s="37"/>
      <c r="F46" s="37"/>
      <c r="G46" s="37"/>
      <c r="H46" s="37"/>
      <c r="I46" s="42"/>
      <c r="J46" s="48"/>
      <c r="K46" s="72"/>
      <c r="L46" s="51"/>
      <c r="M46" s="48"/>
      <c r="N46" s="37"/>
      <c r="O46" s="37"/>
      <c r="P46" s="43"/>
      <c r="Q46" s="36"/>
      <c r="R46" s="71" t="str">
        <f t="shared" si="1"/>
        <v/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</row>
    <row r="47" spans="1:214" x14ac:dyDescent="0.25">
      <c r="A47" s="70"/>
      <c r="B47" s="27"/>
      <c r="C47" s="36"/>
      <c r="D47" s="43"/>
      <c r="E47" s="37"/>
      <c r="F47" s="37"/>
      <c r="G47" s="37"/>
      <c r="H47" s="37"/>
      <c r="I47" s="42"/>
      <c r="J47" s="48"/>
      <c r="K47" s="72"/>
      <c r="L47" s="51"/>
      <c r="M47" s="48"/>
      <c r="N47" s="37"/>
      <c r="O47" s="37"/>
      <c r="P47" s="43"/>
      <c r="Q47" s="36"/>
      <c r="R47" s="71" t="str">
        <f t="shared" si="1"/>
        <v/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</row>
    <row r="48" spans="1:214" x14ac:dyDescent="0.25">
      <c r="A48" s="70"/>
      <c r="B48" s="27"/>
      <c r="C48" s="36"/>
      <c r="D48" s="43"/>
      <c r="E48" s="37"/>
      <c r="F48" s="37"/>
      <c r="G48" s="37"/>
      <c r="H48" s="37"/>
      <c r="I48" s="42"/>
      <c r="J48" s="48"/>
      <c r="K48" s="72"/>
      <c r="L48" s="51"/>
      <c r="M48" s="48"/>
      <c r="N48" s="37"/>
      <c r="O48" s="37"/>
      <c r="P48" s="43"/>
      <c r="Q48" s="36"/>
      <c r="R48" s="71" t="str">
        <f t="shared" si="1"/>
        <v/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</row>
    <row r="49" spans="1:214" x14ac:dyDescent="0.25">
      <c r="A49" s="70"/>
      <c r="B49" s="27"/>
      <c r="C49" s="36"/>
      <c r="D49" s="43"/>
      <c r="E49" s="37"/>
      <c r="F49" s="37"/>
      <c r="G49" s="37"/>
      <c r="H49" s="37"/>
      <c r="I49" s="42"/>
      <c r="J49" s="48"/>
      <c r="K49" s="72"/>
      <c r="L49" s="51"/>
      <c r="M49" s="48"/>
      <c r="N49" s="37"/>
      <c r="O49" s="37"/>
      <c r="P49" s="43"/>
      <c r="Q49" s="36"/>
      <c r="R49" s="71" t="str">
        <f t="shared" si="1"/>
        <v/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</row>
    <row r="50" spans="1:214" x14ac:dyDescent="0.25">
      <c r="A50" s="70"/>
      <c r="B50" s="27"/>
      <c r="C50" s="36"/>
      <c r="D50" s="43"/>
      <c r="E50" s="37"/>
      <c r="F50" s="37"/>
      <c r="G50" s="37"/>
      <c r="H50" s="37"/>
      <c r="I50" s="42"/>
      <c r="J50" s="48"/>
      <c r="K50" s="72"/>
      <c r="L50" s="51"/>
      <c r="M50" s="48"/>
      <c r="N50" s="37"/>
      <c r="O50" s="37"/>
      <c r="P50" s="43"/>
      <c r="Q50" s="36"/>
      <c r="R50" s="71" t="str">
        <f t="shared" si="1"/>
        <v/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</row>
    <row r="51" spans="1:214" x14ac:dyDescent="0.25">
      <c r="A51" s="70"/>
      <c r="B51" s="27"/>
      <c r="C51" s="36"/>
      <c r="D51" s="43"/>
      <c r="E51" s="37"/>
      <c r="F51" s="37"/>
      <c r="G51" s="37"/>
      <c r="H51" s="37"/>
      <c r="I51" s="42"/>
      <c r="J51" s="48"/>
      <c r="K51" s="72"/>
      <c r="L51" s="51"/>
      <c r="M51" s="48"/>
      <c r="N51" s="37"/>
      <c r="O51" s="37"/>
      <c r="P51" s="43"/>
      <c r="Q51" s="36"/>
      <c r="R51" s="71" t="str">
        <f t="shared" si="1"/>
        <v/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</row>
    <row r="52" spans="1:214" x14ac:dyDescent="0.25">
      <c r="A52" s="70"/>
      <c r="B52" s="27"/>
      <c r="C52" s="36"/>
      <c r="D52" s="43"/>
      <c r="E52" s="37"/>
      <c r="F52" s="37"/>
      <c r="G52" s="37"/>
      <c r="H52" s="37"/>
      <c r="I52" s="42"/>
      <c r="J52" s="48"/>
      <c r="K52" s="72"/>
      <c r="L52" s="51"/>
      <c r="M52" s="48"/>
      <c r="N52" s="37"/>
      <c r="O52" s="37"/>
      <c r="P52" s="43"/>
      <c r="Q52" s="36"/>
      <c r="R52" s="71" t="str">
        <f t="shared" si="1"/>
        <v/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</row>
    <row r="53" spans="1:214" x14ac:dyDescent="0.25">
      <c r="A53" s="70"/>
      <c r="B53" s="27"/>
      <c r="C53" s="36"/>
      <c r="D53" s="43"/>
      <c r="E53" s="37"/>
      <c r="F53" s="37"/>
      <c r="G53" s="37"/>
      <c r="H53" s="37"/>
      <c r="I53" s="42"/>
      <c r="J53" s="48"/>
      <c r="K53" s="72"/>
      <c r="L53" s="51"/>
      <c r="M53" s="48"/>
      <c r="N53" s="37"/>
      <c r="O53" s="37"/>
      <c r="P53" s="43"/>
      <c r="Q53" s="36"/>
      <c r="R53" s="71" t="str">
        <f t="shared" si="1"/>
        <v/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</row>
    <row r="54" spans="1:214" x14ac:dyDescent="0.25">
      <c r="A54" s="70"/>
      <c r="B54" s="27"/>
      <c r="C54" s="36"/>
      <c r="D54" s="43"/>
      <c r="E54" s="37"/>
      <c r="F54" s="37"/>
      <c r="G54" s="37"/>
      <c r="H54" s="37"/>
      <c r="I54" s="42"/>
      <c r="J54" s="48"/>
      <c r="K54" s="72"/>
      <c r="L54" s="51"/>
      <c r="M54" s="48"/>
      <c r="N54" s="37"/>
      <c r="O54" s="37"/>
      <c r="P54" s="43"/>
      <c r="Q54" s="36"/>
      <c r="R54" s="71" t="str">
        <f t="shared" si="1"/>
        <v/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</row>
    <row r="55" spans="1:214" x14ac:dyDescent="0.25">
      <c r="A55" s="70"/>
      <c r="B55" s="27"/>
      <c r="C55" s="36"/>
      <c r="D55" s="43"/>
      <c r="E55" s="37"/>
      <c r="F55" s="37"/>
      <c r="G55" s="37"/>
      <c r="H55" s="37"/>
      <c r="I55" s="42"/>
      <c r="J55" s="48"/>
      <c r="K55" s="72"/>
      <c r="L55" s="51"/>
      <c r="M55" s="48"/>
      <c r="N55" s="37"/>
      <c r="O55" s="37"/>
      <c r="P55" s="43"/>
      <c r="Q55" s="36"/>
      <c r="R55" s="71" t="str">
        <f t="shared" si="1"/>
        <v/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</row>
    <row r="56" spans="1:214" x14ac:dyDescent="0.25">
      <c r="A56" s="70"/>
      <c r="B56" s="27"/>
      <c r="C56" s="36"/>
      <c r="D56" s="43"/>
      <c r="E56" s="37"/>
      <c r="F56" s="37"/>
      <c r="G56" s="37"/>
      <c r="H56" s="37"/>
      <c r="I56" s="42"/>
      <c r="J56" s="48"/>
      <c r="K56" s="72"/>
      <c r="L56" s="51"/>
      <c r="M56" s="48"/>
      <c r="N56" s="37"/>
      <c r="O56" s="37"/>
      <c r="P56" s="43"/>
      <c r="Q56" s="36"/>
      <c r="R56" s="71" t="str">
        <f t="shared" si="1"/>
        <v/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</row>
    <row r="57" spans="1:214" x14ac:dyDescent="0.25">
      <c r="A57" s="70"/>
      <c r="B57" s="27"/>
      <c r="C57" s="36"/>
      <c r="D57" s="43"/>
      <c r="E57" s="37"/>
      <c r="F57" s="37"/>
      <c r="G57" s="37"/>
      <c r="H57" s="37"/>
      <c r="I57" s="42"/>
      <c r="J57" s="48"/>
      <c r="K57" s="72"/>
      <c r="L57" s="51"/>
      <c r="M57" s="48"/>
      <c r="N57" s="37"/>
      <c r="O57" s="37"/>
      <c r="P57" s="43"/>
      <c r="Q57" s="36"/>
      <c r="R57" s="71" t="str">
        <f t="shared" si="1"/>
        <v/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</row>
    <row r="58" spans="1:214" x14ac:dyDescent="0.25">
      <c r="A58" s="70"/>
      <c r="B58" s="27"/>
      <c r="C58" s="36"/>
      <c r="D58" s="43"/>
      <c r="E58" s="37"/>
      <c r="F58" s="37"/>
      <c r="G58" s="37"/>
      <c r="H58" s="37"/>
      <c r="I58" s="42"/>
      <c r="J58" s="48"/>
      <c r="K58" s="72"/>
      <c r="L58" s="51"/>
      <c r="M58" s="48"/>
      <c r="N58" s="37"/>
      <c r="O58" s="37"/>
      <c r="P58" s="43"/>
      <c r="Q58" s="36"/>
      <c r="R58" s="71" t="str">
        <f t="shared" si="1"/>
        <v/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</row>
    <row r="59" spans="1:214" x14ac:dyDescent="0.25">
      <c r="A59" s="70"/>
      <c r="B59" s="27"/>
      <c r="C59" s="36"/>
      <c r="D59" s="43"/>
      <c r="E59" s="37"/>
      <c r="F59" s="37"/>
      <c r="G59" s="37"/>
      <c r="H59" s="37"/>
      <c r="I59" s="42"/>
      <c r="J59" s="48"/>
      <c r="K59" s="72"/>
      <c r="L59" s="51"/>
      <c r="M59" s="48"/>
      <c r="N59" s="37"/>
      <c r="O59" s="37"/>
      <c r="P59" s="43"/>
      <c r="Q59" s="36"/>
      <c r="R59" s="71" t="str">
        <f t="shared" si="1"/>
        <v/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</row>
    <row r="60" spans="1:214" x14ac:dyDescent="0.25">
      <c r="A60" s="70"/>
      <c r="B60" s="27"/>
      <c r="C60" s="36"/>
      <c r="D60" s="43"/>
      <c r="E60" s="37"/>
      <c r="F60" s="37"/>
      <c r="G60" s="37"/>
      <c r="H60" s="37"/>
      <c r="I60" s="42"/>
      <c r="J60" s="48"/>
      <c r="K60" s="72"/>
      <c r="L60" s="51"/>
      <c r="M60" s="48"/>
      <c r="N60" s="37"/>
      <c r="O60" s="37"/>
      <c r="P60" s="43"/>
      <c r="Q60" s="36"/>
      <c r="R60" s="71" t="str">
        <f t="shared" si="1"/>
        <v/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</row>
    <row r="61" spans="1:214" x14ac:dyDescent="0.25">
      <c r="A61" s="70"/>
      <c r="B61" s="27"/>
      <c r="C61" s="36"/>
      <c r="D61" s="43"/>
      <c r="E61" s="37"/>
      <c r="F61" s="37"/>
      <c r="G61" s="37"/>
      <c r="H61" s="37"/>
      <c r="I61" s="42"/>
      <c r="J61" s="48"/>
      <c r="K61" s="72"/>
      <c r="L61" s="51"/>
      <c r="M61" s="48"/>
      <c r="N61" s="37"/>
      <c r="O61" s="37"/>
      <c r="P61" s="43"/>
      <c r="Q61" s="36"/>
      <c r="R61" s="71" t="str">
        <f t="shared" si="1"/>
        <v/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</row>
    <row r="62" spans="1:214" x14ac:dyDescent="0.25">
      <c r="A62" s="70"/>
      <c r="B62" s="27"/>
      <c r="C62" s="36"/>
      <c r="D62" s="43"/>
      <c r="E62" s="37"/>
      <c r="F62" s="37"/>
      <c r="G62" s="37"/>
      <c r="H62" s="37"/>
      <c r="I62" s="42"/>
      <c r="J62" s="48"/>
      <c r="K62" s="72"/>
      <c r="L62" s="51"/>
      <c r="M62" s="48"/>
      <c r="N62" s="37"/>
      <c r="O62" s="37"/>
      <c r="P62" s="43"/>
      <c r="Q62" s="36"/>
      <c r="R62" s="71" t="str">
        <f t="shared" si="1"/>
        <v/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</row>
    <row r="63" spans="1:214" x14ac:dyDescent="0.25">
      <c r="A63" s="70"/>
      <c r="B63" s="27"/>
      <c r="C63" s="36"/>
      <c r="D63" s="43"/>
      <c r="E63" s="37"/>
      <c r="F63" s="37"/>
      <c r="G63" s="37"/>
      <c r="H63" s="37"/>
      <c r="I63" s="42"/>
      <c r="J63" s="48"/>
      <c r="K63" s="72"/>
      <c r="L63" s="51"/>
      <c r="M63" s="48"/>
      <c r="N63" s="37"/>
      <c r="O63" s="37"/>
      <c r="P63" s="43"/>
      <c r="Q63" s="36"/>
      <c r="R63" s="71" t="str">
        <f t="shared" si="1"/>
        <v/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</row>
    <row r="64" spans="1:214" x14ac:dyDescent="0.25">
      <c r="A64" s="70"/>
      <c r="B64" s="27"/>
      <c r="C64" s="36"/>
      <c r="D64" s="43"/>
      <c r="E64" s="37"/>
      <c r="F64" s="37"/>
      <c r="G64" s="37"/>
      <c r="H64" s="37"/>
      <c r="I64" s="42"/>
      <c r="J64" s="48"/>
      <c r="K64" s="72"/>
      <c r="L64" s="51"/>
      <c r="M64" s="48"/>
      <c r="N64" s="37"/>
      <c r="O64" s="37"/>
      <c r="P64" s="43"/>
      <c r="Q64" s="36"/>
      <c r="R64" s="71" t="str">
        <f t="shared" si="1"/>
        <v/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</row>
    <row r="65" spans="1:214" x14ac:dyDescent="0.25">
      <c r="A65" s="70"/>
      <c r="B65" s="27"/>
      <c r="C65" s="36"/>
      <c r="D65" s="43"/>
      <c r="E65" s="37"/>
      <c r="F65" s="37"/>
      <c r="G65" s="37"/>
      <c r="H65" s="37"/>
      <c r="I65" s="42"/>
      <c r="J65" s="48"/>
      <c r="K65" s="72"/>
      <c r="L65" s="51"/>
      <c r="M65" s="48"/>
      <c r="N65" s="37"/>
      <c r="O65" s="37"/>
      <c r="P65" s="43"/>
      <c r="Q65" s="36"/>
      <c r="R65" s="71" t="str">
        <f t="shared" si="1"/>
        <v/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</row>
    <row r="66" spans="1:214" x14ac:dyDescent="0.25">
      <c r="A66" s="70"/>
      <c r="B66" s="27"/>
      <c r="C66" s="36"/>
      <c r="D66" s="43"/>
      <c r="E66" s="37"/>
      <c r="F66" s="37"/>
      <c r="G66" s="37"/>
      <c r="H66" s="37"/>
      <c r="I66" s="42"/>
      <c r="J66" s="48"/>
      <c r="K66" s="72"/>
      <c r="L66" s="51"/>
      <c r="M66" s="48"/>
      <c r="N66" s="37"/>
      <c r="O66" s="37"/>
      <c r="P66" s="43"/>
      <c r="Q66" s="36"/>
      <c r="R66" s="71" t="str">
        <f t="shared" si="1"/>
        <v/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</row>
    <row r="67" spans="1:214" x14ac:dyDescent="0.25">
      <c r="A67" s="70"/>
      <c r="B67" s="27"/>
      <c r="C67" s="36"/>
      <c r="D67" s="43"/>
      <c r="E67" s="37"/>
      <c r="F67" s="37"/>
      <c r="G67" s="37"/>
      <c r="H67" s="37"/>
      <c r="I67" s="42"/>
      <c r="J67" s="48"/>
      <c r="K67" s="72"/>
      <c r="L67" s="51"/>
      <c r="M67" s="48"/>
      <c r="N67" s="37"/>
      <c r="O67" s="37"/>
      <c r="P67" s="43"/>
      <c r="Q67" s="36"/>
      <c r="R67" s="71" t="str">
        <f t="shared" si="1"/>
        <v/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</row>
    <row r="68" spans="1:214" x14ac:dyDescent="0.25">
      <c r="A68" s="70"/>
      <c r="B68" s="27"/>
      <c r="C68" s="36"/>
      <c r="D68" s="43"/>
      <c r="E68" s="37"/>
      <c r="F68" s="37"/>
      <c r="G68" s="37"/>
      <c r="H68" s="37"/>
      <c r="I68" s="42"/>
      <c r="J68" s="48"/>
      <c r="K68" s="72"/>
      <c r="L68" s="51"/>
      <c r="M68" s="48"/>
      <c r="N68" s="37"/>
      <c r="O68" s="37"/>
      <c r="P68" s="43"/>
      <c r="Q68" s="36"/>
      <c r="R68" s="71" t="str">
        <f t="shared" si="1"/>
        <v/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</row>
    <row r="69" spans="1:214" x14ac:dyDescent="0.25">
      <c r="A69" s="70"/>
      <c r="B69" s="27"/>
      <c r="C69" s="36"/>
      <c r="D69" s="43"/>
      <c r="E69" s="37"/>
      <c r="F69" s="37"/>
      <c r="G69" s="37"/>
      <c r="H69" s="37"/>
      <c r="I69" s="42"/>
      <c r="J69" s="48"/>
      <c r="K69" s="72"/>
      <c r="L69" s="51"/>
      <c r="M69" s="48"/>
      <c r="N69" s="37"/>
      <c r="O69" s="37"/>
      <c r="P69" s="43"/>
      <c r="Q69" s="36"/>
      <c r="R69" s="71" t="str">
        <f t="shared" ref="R69:R100" si="2">IF(P69="","",P69*Q69/1000000)</f>
        <v/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</row>
    <row r="70" spans="1:214" x14ac:dyDescent="0.25">
      <c r="A70" s="70"/>
      <c r="B70" s="27"/>
      <c r="C70" s="36"/>
      <c r="D70" s="43"/>
      <c r="E70" s="37"/>
      <c r="F70" s="37"/>
      <c r="G70" s="37"/>
      <c r="H70" s="37"/>
      <c r="I70" s="42"/>
      <c r="J70" s="48"/>
      <c r="K70" s="72"/>
      <c r="L70" s="51"/>
      <c r="M70" s="48"/>
      <c r="N70" s="37"/>
      <c r="O70" s="37"/>
      <c r="P70" s="43"/>
      <c r="Q70" s="36"/>
      <c r="R70" s="71" t="str">
        <f t="shared" si="2"/>
        <v/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</row>
    <row r="71" spans="1:214" x14ac:dyDescent="0.25">
      <c r="A71" s="70"/>
      <c r="B71" s="27"/>
      <c r="C71" s="36"/>
      <c r="D71" s="43"/>
      <c r="E71" s="37"/>
      <c r="F71" s="37"/>
      <c r="G71" s="37"/>
      <c r="H71" s="37"/>
      <c r="I71" s="42"/>
      <c r="J71" s="48"/>
      <c r="K71" s="72"/>
      <c r="L71" s="51"/>
      <c r="M71" s="48"/>
      <c r="N71" s="37"/>
      <c r="O71" s="37"/>
      <c r="P71" s="43"/>
      <c r="Q71" s="36"/>
      <c r="R71" s="71" t="str">
        <f t="shared" si="2"/>
        <v/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</row>
    <row r="72" spans="1:214" x14ac:dyDescent="0.25">
      <c r="A72" s="70"/>
      <c r="B72" s="27"/>
      <c r="C72" s="36"/>
      <c r="D72" s="43"/>
      <c r="E72" s="37"/>
      <c r="F72" s="37"/>
      <c r="G72" s="37"/>
      <c r="H72" s="37"/>
      <c r="I72" s="42"/>
      <c r="J72" s="48"/>
      <c r="K72" s="72"/>
      <c r="L72" s="51"/>
      <c r="M72" s="48"/>
      <c r="N72" s="37"/>
      <c r="O72" s="37"/>
      <c r="P72" s="43"/>
      <c r="Q72" s="36"/>
      <c r="R72" s="71" t="str">
        <f t="shared" si="2"/>
        <v/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</row>
    <row r="73" spans="1:214" x14ac:dyDescent="0.25">
      <c r="A73" s="70"/>
      <c r="B73" s="27"/>
      <c r="C73" s="36"/>
      <c r="D73" s="43"/>
      <c r="E73" s="37"/>
      <c r="F73" s="37"/>
      <c r="G73" s="37"/>
      <c r="H73" s="37"/>
      <c r="I73" s="42"/>
      <c r="J73" s="48"/>
      <c r="K73" s="72"/>
      <c r="L73" s="51"/>
      <c r="M73" s="48"/>
      <c r="N73" s="37"/>
      <c r="O73" s="37"/>
      <c r="P73" s="43"/>
      <c r="Q73" s="36"/>
      <c r="R73" s="71" t="str">
        <f t="shared" si="2"/>
        <v/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</row>
    <row r="74" spans="1:214" x14ac:dyDescent="0.25">
      <c r="A74" s="70"/>
      <c r="B74" s="27"/>
      <c r="C74" s="36"/>
      <c r="D74" s="43"/>
      <c r="E74" s="37"/>
      <c r="F74" s="37"/>
      <c r="G74" s="37"/>
      <c r="H74" s="37"/>
      <c r="I74" s="42"/>
      <c r="J74" s="48"/>
      <c r="K74" s="72"/>
      <c r="L74" s="51"/>
      <c r="M74" s="48"/>
      <c r="N74" s="37"/>
      <c r="O74" s="37"/>
      <c r="P74" s="43"/>
      <c r="Q74" s="36"/>
      <c r="R74" s="71" t="str">
        <f t="shared" si="2"/>
        <v/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</row>
    <row r="75" spans="1:214" x14ac:dyDescent="0.25">
      <c r="A75" s="70"/>
      <c r="B75" s="27"/>
      <c r="C75" s="36"/>
      <c r="D75" s="43"/>
      <c r="E75" s="37"/>
      <c r="F75" s="37"/>
      <c r="G75" s="37"/>
      <c r="H75" s="37"/>
      <c r="I75" s="42"/>
      <c r="J75" s="48"/>
      <c r="K75" s="72"/>
      <c r="L75" s="51"/>
      <c r="M75" s="48"/>
      <c r="N75" s="37"/>
      <c r="O75" s="37"/>
      <c r="P75" s="43"/>
      <c r="Q75" s="36"/>
      <c r="R75" s="71" t="str">
        <f t="shared" si="2"/>
        <v/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</row>
    <row r="76" spans="1:214" x14ac:dyDescent="0.25">
      <c r="A76" s="70"/>
      <c r="B76" s="27"/>
      <c r="C76" s="36"/>
      <c r="D76" s="43"/>
      <c r="E76" s="37"/>
      <c r="F76" s="37"/>
      <c r="G76" s="37"/>
      <c r="H76" s="37"/>
      <c r="I76" s="42"/>
      <c r="J76" s="48"/>
      <c r="K76" s="72"/>
      <c r="L76" s="51"/>
      <c r="M76" s="48"/>
      <c r="N76" s="37"/>
      <c r="O76" s="37"/>
      <c r="P76" s="43"/>
      <c r="Q76" s="36"/>
      <c r="R76" s="71" t="str">
        <f t="shared" si="2"/>
        <v/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</row>
    <row r="77" spans="1:214" x14ac:dyDescent="0.25">
      <c r="A77" s="70"/>
      <c r="B77" s="27"/>
      <c r="C77" s="36"/>
      <c r="D77" s="43"/>
      <c r="E77" s="37"/>
      <c r="F77" s="37"/>
      <c r="G77" s="37"/>
      <c r="H77" s="37"/>
      <c r="I77" s="42"/>
      <c r="J77" s="48"/>
      <c r="K77" s="72"/>
      <c r="L77" s="51"/>
      <c r="M77" s="48"/>
      <c r="N77" s="37"/>
      <c r="O77" s="37"/>
      <c r="P77" s="43"/>
      <c r="Q77" s="36"/>
      <c r="R77" s="71" t="str">
        <f t="shared" si="2"/>
        <v/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</row>
    <row r="78" spans="1:214" x14ac:dyDescent="0.25">
      <c r="A78" s="70"/>
      <c r="B78" s="27"/>
      <c r="C78" s="36"/>
      <c r="D78" s="43"/>
      <c r="E78" s="37"/>
      <c r="F78" s="37"/>
      <c r="G78" s="37"/>
      <c r="H78" s="37"/>
      <c r="I78" s="42"/>
      <c r="J78" s="48"/>
      <c r="K78" s="72"/>
      <c r="L78" s="51"/>
      <c r="M78" s="48"/>
      <c r="N78" s="37"/>
      <c r="O78" s="37"/>
      <c r="P78" s="43"/>
      <c r="Q78" s="36"/>
      <c r="R78" s="71" t="str">
        <f t="shared" si="2"/>
        <v/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</row>
    <row r="79" spans="1:214" x14ac:dyDescent="0.25">
      <c r="A79" s="70"/>
      <c r="B79" s="27"/>
      <c r="C79" s="36"/>
      <c r="D79" s="43"/>
      <c r="E79" s="37"/>
      <c r="F79" s="37"/>
      <c r="G79" s="37"/>
      <c r="H79" s="37"/>
      <c r="I79" s="42"/>
      <c r="J79" s="48"/>
      <c r="K79" s="72"/>
      <c r="L79" s="51"/>
      <c r="M79" s="48"/>
      <c r="N79" s="37"/>
      <c r="O79" s="37"/>
      <c r="P79" s="43"/>
      <c r="Q79" s="36"/>
      <c r="R79" s="71" t="str">
        <f t="shared" si="2"/>
        <v/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</row>
    <row r="80" spans="1:214" x14ac:dyDescent="0.25">
      <c r="A80" s="70"/>
      <c r="B80" s="27"/>
      <c r="C80" s="36"/>
      <c r="D80" s="43"/>
      <c r="E80" s="37"/>
      <c r="F80" s="37"/>
      <c r="G80" s="37"/>
      <c r="H80" s="37"/>
      <c r="I80" s="42"/>
      <c r="J80" s="48"/>
      <c r="K80" s="72"/>
      <c r="L80" s="51"/>
      <c r="M80" s="48"/>
      <c r="N80" s="37"/>
      <c r="O80" s="37"/>
      <c r="P80" s="43"/>
      <c r="Q80" s="36"/>
      <c r="R80" s="71" t="str">
        <f t="shared" si="2"/>
        <v/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</row>
    <row r="81" spans="1:214" x14ac:dyDescent="0.25">
      <c r="A81" s="70"/>
      <c r="B81" s="27"/>
      <c r="C81" s="36"/>
      <c r="D81" s="43"/>
      <c r="E81" s="37"/>
      <c r="F81" s="37"/>
      <c r="G81" s="37"/>
      <c r="H81" s="37"/>
      <c r="I81" s="42"/>
      <c r="J81" s="48"/>
      <c r="K81" s="72"/>
      <c r="L81" s="51"/>
      <c r="M81" s="48"/>
      <c r="N81" s="37"/>
      <c r="O81" s="37"/>
      <c r="P81" s="43"/>
      <c r="Q81" s="36"/>
      <c r="R81" s="71" t="str">
        <f t="shared" si="2"/>
        <v/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</row>
    <row r="82" spans="1:214" x14ac:dyDescent="0.25">
      <c r="A82" s="70"/>
      <c r="B82" s="27"/>
      <c r="C82" s="36"/>
      <c r="D82" s="43"/>
      <c r="E82" s="37"/>
      <c r="F82" s="37"/>
      <c r="G82" s="37"/>
      <c r="H82" s="37"/>
      <c r="I82" s="42"/>
      <c r="J82" s="48"/>
      <c r="K82" s="72"/>
      <c r="L82" s="51"/>
      <c r="M82" s="48"/>
      <c r="N82" s="37"/>
      <c r="O82" s="37"/>
      <c r="P82" s="43"/>
      <c r="Q82" s="36"/>
      <c r="R82" s="71" t="str">
        <f t="shared" si="2"/>
        <v/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</row>
    <row r="83" spans="1:214" x14ac:dyDescent="0.25">
      <c r="A83" s="70"/>
      <c r="B83" s="27"/>
      <c r="C83" s="36"/>
      <c r="D83" s="43"/>
      <c r="E83" s="37"/>
      <c r="F83" s="37"/>
      <c r="G83" s="37"/>
      <c r="H83" s="37"/>
      <c r="I83" s="42"/>
      <c r="J83" s="48"/>
      <c r="K83" s="72"/>
      <c r="L83" s="51"/>
      <c r="M83" s="48"/>
      <c r="N83" s="37"/>
      <c r="O83" s="37"/>
      <c r="P83" s="43"/>
      <c r="Q83" s="36"/>
      <c r="R83" s="71" t="str">
        <f t="shared" si="2"/>
        <v/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</row>
    <row r="84" spans="1:214" x14ac:dyDescent="0.25">
      <c r="A84" s="70"/>
      <c r="B84" s="27"/>
      <c r="C84" s="36"/>
      <c r="D84" s="43"/>
      <c r="E84" s="37"/>
      <c r="F84" s="37"/>
      <c r="G84" s="37"/>
      <c r="H84" s="37"/>
      <c r="I84" s="42"/>
      <c r="J84" s="48"/>
      <c r="K84" s="72"/>
      <c r="L84" s="51"/>
      <c r="M84" s="48"/>
      <c r="N84" s="37"/>
      <c r="O84" s="37"/>
      <c r="P84" s="43"/>
      <c r="Q84" s="36"/>
      <c r="R84" s="71" t="str">
        <f t="shared" si="2"/>
        <v/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</row>
    <row r="85" spans="1:214" x14ac:dyDescent="0.25">
      <c r="A85" s="70"/>
      <c r="B85" s="27"/>
      <c r="C85" s="36"/>
      <c r="D85" s="43"/>
      <c r="E85" s="37"/>
      <c r="F85" s="37"/>
      <c r="G85" s="37"/>
      <c r="H85" s="37"/>
      <c r="I85" s="42"/>
      <c r="J85" s="48"/>
      <c r="K85" s="72"/>
      <c r="L85" s="51"/>
      <c r="M85" s="48"/>
      <c r="N85" s="37"/>
      <c r="O85" s="37"/>
      <c r="P85" s="43"/>
      <c r="Q85" s="36"/>
      <c r="R85" s="71" t="str">
        <f t="shared" si="2"/>
        <v/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</row>
    <row r="86" spans="1:214" x14ac:dyDescent="0.25">
      <c r="A86" s="70"/>
      <c r="B86" s="27"/>
      <c r="C86" s="36"/>
      <c r="D86" s="43"/>
      <c r="E86" s="37"/>
      <c r="F86" s="37"/>
      <c r="G86" s="37"/>
      <c r="H86" s="37"/>
      <c r="I86" s="42"/>
      <c r="J86" s="48"/>
      <c r="K86" s="72"/>
      <c r="L86" s="51"/>
      <c r="M86" s="48"/>
      <c r="N86" s="37"/>
      <c r="O86" s="37"/>
      <c r="P86" s="43"/>
      <c r="Q86" s="36"/>
      <c r="R86" s="71" t="str">
        <f t="shared" si="2"/>
        <v/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</row>
    <row r="87" spans="1:214" x14ac:dyDescent="0.25">
      <c r="A87" s="70"/>
      <c r="B87" s="27"/>
      <c r="C87" s="36"/>
      <c r="D87" s="43"/>
      <c r="E87" s="37"/>
      <c r="F87" s="37"/>
      <c r="G87" s="37"/>
      <c r="H87" s="37"/>
      <c r="I87" s="42"/>
      <c r="J87" s="48"/>
      <c r="K87" s="72"/>
      <c r="L87" s="51"/>
      <c r="M87" s="48"/>
      <c r="N87" s="37"/>
      <c r="O87" s="37"/>
      <c r="P87" s="43"/>
      <c r="Q87" s="36"/>
      <c r="R87" s="71" t="str">
        <f t="shared" si="2"/>
        <v/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</row>
    <row r="88" spans="1:214" x14ac:dyDescent="0.25">
      <c r="A88" s="70"/>
      <c r="B88" s="27"/>
      <c r="C88" s="36"/>
      <c r="D88" s="43"/>
      <c r="E88" s="37"/>
      <c r="F88" s="37"/>
      <c r="G88" s="37"/>
      <c r="H88" s="37"/>
      <c r="I88" s="42"/>
      <c r="J88" s="48"/>
      <c r="K88" s="72"/>
      <c r="L88" s="51"/>
      <c r="M88" s="48"/>
      <c r="N88" s="37"/>
      <c r="O88" s="37"/>
      <c r="P88" s="43"/>
      <c r="Q88" s="36"/>
      <c r="R88" s="71" t="str">
        <f t="shared" si="2"/>
        <v/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</row>
    <row r="89" spans="1:214" x14ac:dyDescent="0.25">
      <c r="A89" s="70"/>
      <c r="B89" s="27"/>
      <c r="C89" s="36"/>
      <c r="D89" s="43"/>
      <c r="E89" s="37"/>
      <c r="F89" s="37"/>
      <c r="G89" s="37"/>
      <c r="H89" s="37"/>
      <c r="I89" s="42"/>
      <c r="J89" s="48"/>
      <c r="K89" s="72"/>
      <c r="L89" s="51"/>
      <c r="M89" s="48"/>
      <c r="N89" s="37"/>
      <c r="O89" s="37"/>
      <c r="P89" s="43"/>
      <c r="Q89" s="36"/>
      <c r="R89" s="71" t="str">
        <f t="shared" si="2"/>
        <v/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</row>
    <row r="90" spans="1:214" x14ac:dyDescent="0.25">
      <c r="A90" s="70"/>
      <c r="B90" s="27"/>
      <c r="C90" s="36"/>
      <c r="D90" s="43"/>
      <c r="E90" s="37"/>
      <c r="F90" s="37"/>
      <c r="G90" s="37"/>
      <c r="H90" s="37"/>
      <c r="I90" s="42"/>
      <c r="J90" s="48"/>
      <c r="K90" s="72"/>
      <c r="L90" s="51"/>
      <c r="M90" s="48"/>
      <c r="N90" s="37"/>
      <c r="O90" s="37"/>
      <c r="P90" s="43"/>
      <c r="Q90" s="36"/>
      <c r="R90" s="71" t="str">
        <f t="shared" si="2"/>
        <v/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</row>
    <row r="91" spans="1:214" x14ac:dyDescent="0.25">
      <c r="A91" s="70"/>
      <c r="B91" s="27"/>
      <c r="C91" s="36"/>
      <c r="D91" s="43"/>
      <c r="E91" s="37"/>
      <c r="F91" s="37"/>
      <c r="G91" s="37"/>
      <c r="H91" s="37"/>
      <c r="I91" s="42"/>
      <c r="J91" s="48"/>
      <c r="K91" s="72"/>
      <c r="L91" s="51"/>
      <c r="M91" s="48"/>
      <c r="N91" s="37"/>
      <c r="O91" s="37"/>
      <c r="P91" s="43"/>
      <c r="Q91" s="36"/>
      <c r="R91" s="71" t="str">
        <f t="shared" si="2"/>
        <v/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</row>
    <row r="92" spans="1:214" x14ac:dyDescent="0.25">
      <c r="A92" s="70"/>
      <c r="B92" s="27"/>
      <c r="C92" s="36"/>
      <c r="D92" s="43"/>
      <c r="E92" s="37"/>
      <c r="F92" s="37"/>
      <c r="G92" s="37"/>
      <c r="H92" s="37"/>
      <c r="I92" s="42"/>
      <c r="J92" s="48"/>
      <c r="K92" s="72"/>
      <c r="L92" s="51"/>
      <c r="M92" s="48"/>
      <c r="N92" s="37"/>
      <c r="O92" s="37"/>
      <c r="P92" s="43"/>
      <c r="Q92" s="36"/>
      <c r="R92" s="71" t="str">
        <f t="shared" si="2"/>
        <v/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</row>
    <row r="93" spans="1:214" x14ac:dyDescent="0.25">
      <c r="A93" s="70"/>
      <c r="B93" s="27"/>
      <c r="C93" s="36"/>
      <c r="D93" s="43"/>
      <c r="E93" s="37"/>
      <c r="F93" s="37"/>
      <c r="G93" s="37"/>
      <c r="H93" s="37"/>
      <c r="I93" s="42"/>
      <c r="J93" s="48"/>
      <c r="K93" s="72"/>
      <c r="L93" s="51"/>
      <c r="M93" s="48"/>
      <c r="N93" s="37"/>
      <c r="O93" s="37"/>
      <c r="P93" s="43"/>
      <c r="Q93" s="36"/>
      <c r="R93" s="71" t="str">
        <f t="shared" si="2"/>
        <v/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</row>
    <row r="94" spans="1:214" x14ac:dyDescent="0.25">
      <c r="A94" s="70"/>
      <c r="B94" s="27"/>
      <c r="C94" s="36"/>
      <c r="D94" s="43"/>
      <c r="E94" s="37"/>
      <c r="F94" s="37"/>
      <c r="G94" s="37"/>
      <c r="H94" s="37"/>
      <c r="I94" s="42"/>
      <c r="J94" s="48"/>
      <c r="K94" s="72"/>
      <c r="L94" s="51"/>
      <c r="M94" s="48"/>
      <c r="N94" s="37"/>
      <c r="O94" s="37"/>
      <c r="P94" s="43"/>
      <c r="Q94" s="36"/>
      <c r="R94" s="71" t="str">
        <f t="shared" si="2"/>
        <v/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</row>
    <row r="95" spans="1:214" x14ac:dyDescent="0.25">
      <c r="A95" s="70"/>
      <c r="B95" s="27"/>
      <c r="C95" s="36"/>
      <c r="D95" s="43"/>
      <c r="E95" s="37"/>
      <c r="F95" s="37"/>
      <c r="G95" s="37"/>
      <c r="H95" s="37"/>
      <c r="I95" s="42"/>
      <c r="J95" s="48"/>
      <c r="K95" s="72"/>
      <c r="L95" s="51"/>
      <c r="M95" s="48"/>
      <c r="N95" s="37"/>
      <c r="O95" s="37"/>
      <c r="P95" s="43"/>
      <c r="Q95" s="36"/>
      <c r="R95" s="71" t="str">
        <f t="shared" si="2"/>
        <v/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</row>
    <row r="96" spans="1:214" x14ac:dyDescent="0.25">
      <c r="A96" s="70"/>
      <c r="B96" s="27"/>
      <c r="C96" s="36"/>
      <c r="D96" s="43"/>
      <c r="E96" s="37"/>
      <c r="F96" s="37"/>
      <c r="G96" s="37"/>
      <c r="H96" s="37"/>
      <c r="I96" s="42"/>
      <c r="J96" s="48"/>
      <c r="K96" s="72"/>
      <c r="L96" s="51"/>
      <c r="M96" s="48"/>
      <c r="N96" s="37"/>
      <c r="O96" s="37"/>
      <c r="P96" s="43"/>
      <c r="Q96" s="36"/>
      <c r="R96" s="71" t="str">
        <f t="shared" si="2"/>
        <v/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</row>
    <row r="97" spans="1:214" x14ac:dyDescent="0.25">
      <c r="A97" s="70"/>
      <c r="B97" s="27"/>
      <c r="C97" s="36"/>
      <c r="D97" s="43"/>
      <c r="E97" s="37"/>
      <c r="F97" s="37"/>
      <c r="G97" s="37"/>
      <c r="H97" s="37"/>
      <c r="I97" s="42"/>
      <c r="J97" s="48"/>
      <c r="K97" s="72"/>
      <c r="L97" s="51"/>
      <c r="M97" s="48"/>
      <c r="N97" s="37"/>
      <c r="O97" s="37"/>
      <c r="P97" s="43"/>
      <c r="Q97" s="36"/>
      <c r="R97" s="71" t="str">
        <f t="shared" si="2"/>
        <v/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</row>
    <row r="98" spans="1:214" x14ac:dyDescent="0.25">
      <c r="A98" s="70"/>
      <c r="B98" s="27"/>
      <c r="C98" s="36"/>
      <c r="D98" s="43"/>
      <c r="E98" s="37"/>
      <c r="F98" s="37"/>
      <c r="G98" s="37"/>
      <c r="H98" s="37"/>
      <c r="I98" s="42"/>
      <c r="J98" s="48"/>
      <c r="K98" s="72"/>
      <c r="L98" s="51"/>
      <c r="M98" s="48"/>
      <c r="N98" s="37"/>
      <c r="O98" s="37"/>
      <c r="P98" s="43"/>
      <c r="Q98" s="36"/>
      <c r="R98" s="71" t="str">
        <f t="shared" si="2"/>
        <v/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</row>
    <row r="99" spans="1:214" x14ac:dyDescent="0.25">
      <c r="A99" s="70"/>
      <c r="B99" s="27"/>
      <c r="C99" s="36"/>
      <c r="D99" s="43"/>
      <c r="E99" s="37"/>
      <c r="F99" s="37"/>
      <c r="G99" s="37"/>
      <c r="H99" s="37"/>
      <c r="I99" s="42"/>
      <c r="J99" s="48"/>
      <c r="K99" s="72"/>
      <c r="L99" s="51"/>
      <c r="M99" s="48"/>
      <c r="N99" s="37"/>
      <c r="O99" s="37"/>
      <c r="P99" s="43"/>
      <c r="Q99" s="36"/>
      <c r="R99" s="71" t="str">
        <f t="shared" si="2"/>
        <v/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</row>
    <row r="100" spans="1:214" ht="15.75" thickBot="1" x14ac:dyDescent="0.3">
      <c r="A100" s="70"/>
      <c r="B100" s="28"/>
      <c r="C100" s="38"/>
      <c r="D100" s="45"/>
      <c r="E100" s="39"/>
      <c r="F100" s="39"/>
      <c r="G100" s="39"/>
      <c r="H100" s="39"/>
      <c r="I100" s="44"/>
      <c r="J100" s="49"/>
      <c r="K100" s="74"/>
      <c r="L100" s="52"/>
      <c r="M100" s="49"/>
      <c r="N100" s="39"/>
      <c r="O100" s="39"/>
      <c r="P100" s="45"/>
      <c r="Q100" s="38"/>
      <c r="R100" s="169" t="str">
        <f t="shared" si="2"/>
        <v/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</row>
    <row r="101" spans="1:214" x14ac:dyDescent="0.2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</row>
    <row r="102" spans="1:214" x14ac:dyDescent="0.2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</row>
    <row r="103" spans="1:214" x14ac:dyDescent="0.2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</row>
    <row r="104" spans="1:214" x14ac:dyDescent="0.2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</row>
    <row r="105" spans="1:214" x14ac:dyDescent="0.2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</row>
    <row r="106" spans="1:214" x14ac:dyDescent="0.2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</row>
    <row r="107" spans="1:214" x14ac:dyDescent="0.2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</row>
    <row r="108" spans="1:214" x14ac:dyDescent="0.2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</row>
    <row r="109" spans="1:214" x14ac:dyDescent="0.2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</row>
    <row r="110" spans="1:214" x14ac:dyDescent="0.2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</row>
    <row r="111" spans="1:214" x14ac:dyDescent="0.2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</row>
    <row r="112" spans="1:214" x14ac:dyDescent="0.2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</row>
    <row r="113" spans="19:214" x14ac:dyDescent="0.2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</row>
    <row r="114" spans="19:214" x14ac:dyDescent="0.2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</row>
    <row r="115" spans="19:214" x14ac:dyDescent="0.2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</row>
    <row r="116" spans="19:214" x14ac:dyDescent="0.2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</row>
    <row r="117" spans="19:214" x14ac:dyDescent="0.2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</row>
    <row r="118" spans="19:214" x14ac:dyDescent="0.2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</row>
    <row r="119" spans="19:214" x14ac:dyDescent="0.2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</row>
    <row r="120" spans="19:214" x14ac:dyDescent="0.2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</row>
    <row r="121" spans="19:214" x14ac:dyDescent="0.2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</row>
    <row r="122" spans="19:214" x14ac:dyDescent="0.2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</row>
    <row r="123" spans="19:214" x14ac:dyDescent="0.2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</row>
    <row r="124" spans="19:214" x14ac:dyDescent="0.2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</row>
    <row r="125" spans="19:214" x14ac:dyDescent="0.2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</row>
    <row r="126" spans="19:214" x14ac:dyDescent="0.2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</row>
    <row r="127" spans="19:214" x14ac:dyDescent="0.2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</row>
    <row r="128" spans="19:214" x14ac:dyDescent="0.25"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</row>
    <row r="129" spans="25:214" x14ac:dyDescent="0.25"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</row>
    <row r="130" spans="25:214" x14ac:dyDescent="0.25"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</row>
    <row r="131" spans="25:214" x14ac:dyDescent="0.25"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</row>
    <row r="132" spans="25:214" x14ac:dyDescent="0.25"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</row>
    <row r="133" spans="25:214" x14ac:dyDescent="0.25"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</row>
    <row r="134" spans="25:214" x14ac:dyDescent="0.25"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</row>
    <row r="135" spans="25:214" x14ac:dyDescent="0.25"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</row>
    <row r="136" spans="25:214" x14ac:dyDescent="0.25"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</row>
    <row r="137" spans="25:214" x14ac:dyDescent="0.25"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</row>
    <row r="138" spans="25:214" x14ac:dyDescent="0.25"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</row>
    <row r="139" spans="25:214" x14ac:dyDescent="0.25"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</row>
    <row r="140" spans="25:214" x14ac:dyDescent="0.25"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</row>
    <row r="141" spans="25:214" x14ac:dyDescent="0.25"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</row>
    <row r="142" spans="25:214" x14ac:dyDescent="0.25"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</row>
    <row r="143" spans="25:214" x14ac:dyDescent="0.25"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</row>
    <row r="144" spans="25:214" x14ac:dyDescent="0.25"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</row>
    <row r="145" spans="25:214" x14ac:dyDescent="0.25"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</row>
    <row r="146" spans="25:214" x14ac:dyDescent="0.25"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</row>
    <row r="147" spans="25:214" x14ac:dyDescent="0.25"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</row>
    <row r="148" spans="25:214" x14ac:dyDescent="0.25"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</row>
    <row r="149" spans="25:214" x14ac:dyDescent="0.25"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</row>
    <row r="150" spans="25:214" x14ac:dyDescent="0.25"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</row>
    <row r="151" spans="25:214" x14ac:dyDescent="0.25"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</row>
    <row r="152" spans="25:214" x14ac:dyDescent="0.25"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</row>
    <row r="153" spans="25:214" x14ac:dyDescent="0.25"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</row>
    <row r="154" spans="25:214" x14ac:dyDescent="0.25"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</row>
    <row r="155" spans="25:214" x14ac:dyDescent="0.25"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</row>
    <row r="156" spans="25:214" x14ac:dyDescent="0.25"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</row>
    <row r="157" spans="25:214" x14ac:dyDescent="0.25"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</row>
    <row r="158" spans="25:214" x14ac:dyDescent="0.25"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</row>
    <row r="159" spans="25:214" x14ac:dyDescent="0.25"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</row>
    <row r="160" spans="25:214" x14ac:dyDescent="0.25"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</row>
    <row r="161" spans="25:214" x14ac:dyDescent="0.25"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</row>
    <row r="162" spans="25:214" x14ac:dyDescent="0.25"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</row>
    <row r="163" spans="25:214" x14ac:dyDescent="0.25"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</row>
    <row r="164" spans="25:214" x14ac:dyDescent="0.25"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</row>
    <row r="165" spans="25:214" x14ac:dyDescent="0.25"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</row>
    <row r="166" spans="25:214" x14ac:dyDescent="0.25"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</row>
    <row r="167" spans="25:214" x14ac:dyDescent="0.25"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</row>
    <row r="168" spans="25:214" x14ac:dyDescent="0.25"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</row>
    <row r="169" spans="25:214" x14ac:dyDescent="0.25"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</row>
    <row r="170" spans="25:214" x14ac:dyDescent="0.25"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</row>
    <row r="171" spans="25:214" x14ac:dyDescent="0.25"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</row>
    <row r="172" spans="25:214" x14ac:dyDescent="0.25"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</row>
    <row r="173" spans="25:214" x14ac:dyDescent="0.25"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</row>
    <row r="174" spans="25:214" x14ac:dyDescent="0.25"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</row>
    <row r="175" spans="25:214" x14ac:dyDescent="0.25"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</row>
    <row r="176" spans="25:214" x14ac:dyDescent="0.25"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</row>
    <row r="177" spans="25:214" x14ac:dyDescent="0.25"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</row>
    <row r="178" spans="25:214" x14ac:dyDescent="0.25"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</row>
    <row r="179" spans="25:214" x14ac:dyDescent="0.25"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</row>
    <row r="180" spans="25:214" x14ac:dyDescent="0.25"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</row>
    <row r="181" spans="25:214" x14ac:dyDescent="0.25"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</row>
    <row r="182" spans="25:214" x14ac:dyDescent="0.25"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</row>
    <row r="183" spans="25:214" x14ac:dyDescent="0.25"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</row>
    <row r="184" spans="25:214" x14ac:dyDescent="0.25"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</row>
    <row r="185" spans="25:214" x14ac:dyDescent="0.25"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</row>
    <row r="186" spans="25:214" x14ac:dyDescent="0.25"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</row>
    <row r="187" spans="25:214" x14ac:dyDescent="0.25"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</row>
    <row r="188" spans="25:214" x14ac:dyDescent="0.25"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</row>
    <row r="189" spans="25:214" x14ac:dyDescent="0.25"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</row>
    <row r="190" spans="25:214" x14ac:dyDescent="0.25"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</row>
    <row r="191" spans="25:214" x14ac:dyDescent="0.25"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</row>
    <row r="192" spans="25:214" x14ac:dyDescent="0.25"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</row>
    <row r="193" spans="25:214" x14ac:dyDescent="0.25"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</row>
    <row r="194" spans="25:214" x14ac:dyDescent="0.25"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</row>
    <row r="195" spans="25:214" x14ac:dyDescent="0.25"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</row>
    <row r="196" spans="25:214" x14ac:dyDescent="0.25"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</row>
    <row r="197" spans="25:214" x14ac:dyDescent="0.25"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</row>
    <row r="198" spans="25:214" x14ac:dyDescent="0.25"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</row>
    <row r="199" spans="25:214" x14ac:dyDescent="0.25"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</row>
    <row r="200" spans="25:214" x14ac:dyDescent="0.25"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</row>
    <row r="201" spans="25:214" x14ac:dyDescent="0.25"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</row>
    <row r="202" spans="25:214" x14ac:dyDescent="0.25"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</row>
    <row r="203" spans="25:214" x14ac:dyDescent="0.25"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</row>
    <row r="204" spans="25:214" x14ac:dyDescent="0.25"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</row>
    <row r="205" spans="25:214" x14ac:dyDescent="0.25"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</row>
    <row r="206" spans="25:214" x14ac:dyDescent="0.25"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</row>
    <row r="207" spans="25:214" x14ac:dyDescent="0.25"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</row>
    <row r="208" spans="25:214" x14ac:dyDescent="0.25"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</row>
    <row r="209" spans="25:214" x14ac:dyDescent="0.25"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</row>
    <row r="210" spans="25:214" x14ac:dyDescent="0.25"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</row>
    <row r="211" spans="25:214" x14ac:dyDescent="0.25"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</row>
    <row r="212" spans="25:214" x14ac:dyDescent="0.25"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</row>
    <row r="213" spans="25:214" x14ac:dyDescent="0.25"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</row>
    <row r="214" spans="25:214" x14ac:dyDescent="0.25"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</row>
    <row r="215" spans="25:214" x14ac:dyDescent="0.25"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</row>
    <row r="216" spans="25:214" x14ac:dyDescent="0.25"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</row>
    <row r="217" spans="25:214" x14ac:dyDescent="0.25"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</row>
    <row r="218" spans="25:214" x14ac:dyDescent="0.25"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</row>
    <row r="219" spans="25:214" x14ac:dyDescent="0.25"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</row>
    <row r="220" spans="25:214" x14ac:dyDescent="0.25"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</row>
    <row r="221" spans="25:214" x14ac:dyDescent="0.25"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</row>
    <row r="222" spans="25:214" x14ac:dyDescent="0.25"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</row>
    <row r="223" spans="25:214" x14ac:dyDescent="0.25"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</row>
    <row r="224" spans="25:214" x14ac:dyDescent="0.25"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</row>
    <row r="225" spans="25:214" x14ac:dyDescent="0.25"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</row>
    <row r="226" spans="25:214" x14ac:dyDescent="0.25"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</row>
    <row r="227" spans="25:214" x14ac:dyDescent="0.25"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</row>
    <row r="228" spans="25:214" x14ac:dyDescent="0.25"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</row>
    <row r="229" spans="25:214" x14ac:dyDescent="0.25"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</row>
    <row r="230" spans="25:214" x14ac:dyDescent="0.25"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</row>
    <row r="231" spans="25:214" x14ac:dyDescent="0.25"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</row>
    <row r="232" spans="25:214" x14ac:dyDescent="0.25"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</row>
    <row r="233" spans="25:214" x14ac:dyDescent="0.25"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</row>
    <row r="234" spans="25:214" x14ac:dyDescent="0.25"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</row>
    <row r="235" spans="25:214" x14ac:dyDescent="0.25"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</row>
    <row r="236" spans="25:214" x14ac:dyDescent="0.25"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</row>
    <row r="237" spans="25:214" x14ac:dyDescent="0.25"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</row>
    <row r="238" spans="25:214" x14ac:dyDescent="0.25"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</row>
    <row r="239" spans="25:214" x14ac:dyDescent="0.25"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</row>
    <row r="240" spans="25:214" x14ac:dyDescent="0.25"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</row>
    <row r="241" spans="25:214" x14ac:dyDescent="0.25"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</row>
    <row r="242" spans="25:214" x14ac:dyDescent="0.25"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</row>
    <row r="243" spans="25:214" x14ac:dyDescent="0.25"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</row>
    <row r="244" spans="25:214" x14ac:dyDescent="0.25"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</row>
    <row r="245" spans="25:214" x14ac:dyDescent="0.25"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</row>
    <row r="246" spans="25:214" x14ac:dyDescent="0.25"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</row>
    <row r="247" spans="25:214" x14ac:dyDescent="0.25"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</row>
    <row r="248" spans="25:214" x14ac:dyDescent="0.25"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</row>
    <row r="249" spans="25:214" x14ac:dyDescent="0.25"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</row>
    <row r="250" spans="25:214" x14ac:dyDescent="0.25"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</row>
    <row r="251" spans="25:214" x14ac:dyDescent="0.25"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</row>
    <row r="252" spans="25:214" x14ac:dyDescent="0.25"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</row>
    <row r="253" spans="25:214" x14ac:dyDescent="0.25"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</row>
    <row r="254" spans="25:214" x14ac:dyDescent="0.25"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</row>
    <row r="255" spans="25:214" x14ac:dyDescent="0.25"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</row>
    <row r="256" spans="25:214" x14ac:dyDescent="0.25"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</row>
    <row r="257" spans="25:214" x14ac:dyDescent="0.25"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</row>
    <row r="258" spans="25:214" x14ac:dyDescent="0.25"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</row>
    <row r="259" spans="25:214" x14ac:dyDescent="0.25"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</row>
    <row r="260" spans="25:214" x14ac:dyDescent="0.25"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</row>
    <row r="261" spans="25:214" x14ac:dyDescent="0.25"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</row>
    <row r="262" spans="25:214" x14ac:dyDescent="0.25"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</row>
    <row r="263" spans="25:214" x14ac:dyDescent="0.25"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</row>
    <row r="264" spans="25:214" x14ac:dyDescent="0.25"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</row>
    <row r="265" spans="25:214" x14ac:dyDescent="0.25"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</row>
    <row r="266" spans="25:214" x14ac:dyDescent="0.25"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</row>
    <row r="267" spans="25:214" x14ac:dyDescent="0.25"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</row>
    <row r="268" spans="25:214" x14ac:dyDescent="0.25"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</row>
    <row r="269" spans="25:214" x14ac:dyDescent="0.25"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</row>
    <row r="270" spans="25:214" x14ac:dyDescent="0.25"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</row>
    <row r="271" spans="25:214" x14ac:dyDescent="0.25"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</row>
    <row r="272" spans="25:214" x14ac:dyDescent="0.25"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</row>
    <row r="273" spans="25:214" x14ac:dyDescent="0.25"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</row>
    <row r="274" spans="25:214" x14ac:dyDescent="0.25"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</row>
    <row r="275" spans="25:214" x14ac:dyDescent="0.25"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</row>
    <row r="276" spans="25:214" x14ac:dyDescent="0.25"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</row>
    <row r="277" spans="25:214" x14ac:dyDescent="0.25"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</row>
    <row r="278" spans="25:214" x14ac:dyDescent="0.25"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</row>
    <row r="279" spans="25:214" x14ac:dyDescent="0.25"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</row>
    <row r="280" spans="25:214" x14ac:dyDescent="0.25"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</row>
    <row r="281" spans="25:214" x14ac:dyDescent="0.25"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</row>
    <row r="282" spans="25:214" x14ac:dyDescent="0.25"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</row>
    <row r="283" spans="25:214" x14ac:dyDescent="0.25"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</row>
    <row r="284" spans="25:214" x14ac:dyDescent="0.25"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</row>
    <row r="285" spans="25:214" x14ac:dyDescent="0.25"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</row>
    <row r="286" spans="25:214" x14ac:dyDescent="0.25"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</row>
    <row r="287" spans="25:214" x14ac:dyDescent="0.25"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</row>
    <row r="288" spans="25:214" x14ac:dyDescent="0.25"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</row>
    <row r="289" spans="25:214" x14ac:dyDescent="0.25"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</row>
    <row r="290" spans="25:214" x14ac:dyDescent="0.25"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</row>
    <row r="291" spans="25:214" x14ac:dyDescent="0.25"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</row>
    <row r="292" spans="25:214" x14ac:dyDescent="0.25"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</row>
    <row r="293" spans="25:214" x14ac:dyDescent="0.25"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</row>
    <row r="294" spans="25:214" x14ac:dyDescent="0.25"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</row>
    <row r="295" spans="25:214" x14ac:dyDescent="0.25"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</row>
    <row r="296" spans="25:214" x14ac:dyDescent="0.25"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</row>
    <row r="297" spans="25:214" x14ac:dyDescent="0.25"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</row>
    <row r="298" spans="25:214" x14ac:dyDescent="0.25"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</row>
    <row r="299" spans="25:214" x14ac:dyDescent="0.25"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</row>
    <row r="300" spans="25:214" x14ac:dyDescent="0.25"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</row>
    <row r="301" spans="25:214" x14ac:dyDescent="0.25"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</row>
    <row r="302" spans="25:214" x14ac:dyDescent="0.25"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</row>
    <row r="303" spans="25:214" x14ac:dyDescent="0.25"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</row>
    <row r="304" spans="25:214" x14ac:dyDescent="0.25"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</row>
    <row r="305" spans="25:214" x14ac:dyDescent="0.25"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</row>
    <row r="306" spans="25:214" x14ac:dyDescent="0.25"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</row>
    <row r="307" spans="25:214" x14ac:dyDescent="0.25"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</row>
    <row r="308" spans="25:214" x14ac:dyDescent="0.25"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</row>
    <row r="309" spans="25:214" x14ac:dyDescent="0.25"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</row>
    <row r="310" spans="25:214" x14ac:dyDescent="0.25"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</row>
    <row r="311" spans="25:214" x14ac:dyDescent="0.25"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</row>
    <row r="312" spans="25:214" x14ac:dyDescent="0.25"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</row>
    <row r="313" spans="25:214" x14ac:dyDescent="0.25"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</row>
    <row r="314" spans="25:214" x14ac:dyDescent="0.25"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</row>
    <row r="315" spans="25:214" x14ac:dyDescent="0.25"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</row>
    <row r="316" spans="25:214" x14ac:dyDescent="0.25"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</row>
    <row r="317" spans="25:214" x14ac:dyDescent="0.25"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</row>
    <row r="318" spans="25:214" x14ac:dyDescent="0.25"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</row>
    <row r="319" spans="25:214" x14ac:dyDescent="0.25"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</row>
    <row r="320" spans="25:214" x14ac:dyDescent="0.25"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</row>
    <row r="321" spans="25:214" x14ac:dyDescent="0.25"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</row>
    <row r="322" spans="25:214" x14ac:dyDescent="0.25"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</row>
    <row r="323" spans="25:214" x14ac:dyDescent="0.25"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</row>
    <row r="324" spans="25:214" x14ac:dyDescent="0.25"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</row>
    <row r="325" spans="25:214" x14ac:dyDescent="0.25"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</row>
    <row r="326" spans="25:214" x14ac:dyDescent="0.25"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</row>
    <row r="327" spans="25:214" x14ac:dyDescent="0.25"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</row>
    <row r="328" spans="25:214" x14ac:dyDescent="0.25"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</row>
    <row r="329" spans="25:214" x14ac:dyDescent="0.25"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</row>
    <row r="330" spans="25:214" x14ac:dyDescent="0.25"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</row>
    <row r="331" spans="25:214" x14ac:dyDescent="0.25"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</row>
    <row r="332" spans="25:214" x14ac:dyDescent="0.25"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</row>
    <row r="333" spans="25:214" x14ac:dyDescent="0.25"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</row>
    <row r="334" spans="25:214" x14ac:dyDescent="0.25"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</row>
    <row r="335" spans="25:214" x14ac:dyDescent="0.25"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</row>
    <row r="336" spans="25:214" x14ac:dyDescent="0.25"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</row>
    <row r="337" spans="25:214" x14ac:dyDescent="0.25"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</row>
    <row r="338" spans="25:214" x14ac:dyDescent="0.25"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</row>
    <row r="339" spans="25:214" x14ac:dyDescent="0.25"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</row>
    <row r="340" spans="25:214" x14ac:dyDescent="0.25"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</row>
    <row r="341" spans="25:214" x14ac:dyDescent="0.25"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</row>
    <row r="342" spans="25:214" x14ac:dyDescent="0.25"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</row>
    <row r="343" spans="25:214" x14ac:dyDescent="0.25"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</row>
    <row r="344" spans="25:214" x14ac:dyDescent="0.25"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</row>
    <row r="345" spans="25:214" x14ac:dyDescent="0.25"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</row>
    <row r="346" spans="25:214" x14ac:dyDescent="0.25"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</row>
    <row r="347" spans="25:214" x14ac:dyDescent="0.25"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</row>
    <row r="348" spans="25:214" x14ac:dyDescent="0.25"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</row>
    <row r="349" spans="25:214" x14ac:dyDescent="0.25"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</row>
    <row r="350" spans="25:214" x14ac:dyDescent="0.25"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</row>
    <row r="351" spans="25:214" x14ac:dyDescent="0.25"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</row>
    <row r="352" spans="25:214" x14ac:dyDescent="0.25"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</row>
    <row r="353" spans="25:214" x14ac:dyDescent="0.25"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</row>
    <row r="354" spans="25:214" x14ac:dyDescent="0.25"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</row>
    <row r="355" spans="25:214" x14ac:dyDescent="0.25"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</row>
    <row r="356" spans="25:214" x14ac:dyDescent="0.25"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</row>
    <row r="357" spans="25:214" x14ac:dyDescent="0.25"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</row>
    <row r="358" spans="25:214" x14ac:dyDescent="0.25"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</row>
    <row r="359" spans="25:214" x14ac:dyDescent="0.25"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</row>
    <row r="360" spans="25:214" x14ac:dyDescent="0.25"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</row>
  </sheetData>
  <sheetProtection algorithmName="SHA-512" hashValue="HgRQKUiVuUi/d4B+lFzBsarriCJfhMumExnPyRb+bHXdCPDirx717Iby4cc5Q5GRiiIdVceNvG50j3Aq0f9IRg==" saltValue="QOyTfbQw0PpL5Q6QLGx9kA==" spinCount="100000" sheet="1" selectLockedCells="1"/>
  <protectedRanges>
    <protectedRange sqref="E17:E20 I4:O13 B4:F13 C22 J17:L18 K36 J19:J21 L19:L21 J23:J28 I17:I20 K35:L35 K37:L100 K19:K29 I23:I31 J30:L31 L23:L28 R5:R31 B17:D21 F17:F21 P17:Q21 B23:F100 I32:R34 P23:Q31 G35:J100 P5:Q13 P4:R4 M17:O31 M35:R100" name="Bereich1"/>
  </protectedRanges>
  <conditionalFormatting sqref="B4:R100">
    <cfRule type="expression" dxfId="3" priority="8">
      <formula>MOD(ROW(),2)=0</formula>
    </cfRule>
  </conditionalFormatting>
  <conditionalFormatting sqref="J4:K100">
    <cfRule type="expression" dxfId="2" priority="7">
      <formula>AND(NOT($J4=""),NOT($K4=""))</formula>
    </cfRule>
  </conditionalFormatting>
  <conditionalFormatting sqref="L4:M100">
    <cfRule type="expression" dxfId="1" priority="3">
      <formula>AND(NOT($L4=""),NOT($M4=""))</formula>
    </cfRule>
  </conditionalFormatting>
  <conditionalFormatting sqref="N4:O100">
    <cfRule type="expression" dxfId="0" priority="1">
      <formula>AND(NOT($N4=""),NOT($O4=""))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D304"/>
  <sheetViews>
    <sheetView zoomScaleNormal="100" workbookViewId="0">
      <selection activeCell="M4" sqref="M4"/>
    </sheetView>
  </sheetViews>
  <sheetFormatPr baseColWidth="10" defaultColWidth="11.42578125" defaultRowHeight="15" x14ac:dyDescent="0.25"/>
  <cols>
    <col min="1" max="1" width="3.7109375" style="1" customWidth="1"/>
    <col min="2" max="2" width="18.42578125" style="2" bestFit="1" customWidth="1"/>
    <col min="3" max="3" width="18.42578125" style="2" customWidth="1"/>
    <col min="4" max="4" width="17.42578125" style="1" bestFit="1" customWidth="1"/>
    <col min="5" max="5" width="15.28515625" style="2" bestFit="1" customWidth="1"/>
    <col min="6" max="6" width="17.28515625" style="2" bestFit="1" customWidth="1"/>
    <col min="7" max="7" width="21" style="2" bestFit="1" customWidth="1"/>
    <col min="8" max="11" width="18.28515625" style="2" bestFit="1" customWidth="1"/>
    <col min="12" max="14" width="15.28515625" style="2" bestFit="1" customWidth="1"/>
    <col min="15" max="15" width="20.7109375" style="3" customWidth="1"/>
    <col min="16" max="19" width="20.7109375" style="2" customWidth="1"/>
    <col min="20" max="36" width="20.7109375" style="3" customWidth="1"/>
    <col min="37" max="16384" width="11.42578125" style="3"/>
  </cols>
  <sheetData>
    <row r="2" spans="1:160" s="78" customFormat="1" ht="32.25" thickBot="1" x14ac:dyDescent="0.3">
      <c r="A2" s="75"/>
      <c r="B2" s="57" t="str">
        <f>IF(Tabelle1!$A$1=1,"PRODUKT",IF(Tabelle1!$A$1=2,"PRODUCT"))</f>
        <v>PRODUKT</v>
      </c>
      <c r="C2" s="57" t="str">
        <f>IF(Tabelle1!$A$1=1,"TYP",IF(Tabelle1!$A$1=2,"TYPE"))</f>
        <v>TYP</v>
      </c>
      <c r="D2" s="57" t="str">
        <f>IF(Tabelle1!$A$1=1,"AC LEISTUNG",IF(Tabelle1!$A$1=2,"AC POWER"))</f>
        <v>AC LEISTUNG</v>
      </c>
      <c r="E2" s="58" t="str">
        <f>IF(Tabelle1!$A$1=1,"ANZAHL MPPT's",IF(Tabelle1!$A$1=2,"NUMBER OF MPPT's"))</f>
        <v>ANZAHL MPPT's</v>
      </c>
      <c r="F2" s="58" t="str">
        <f>IF(Tabelle1!$A$1=1,"PV LEISTUNG",IF(Tabelle1!$A$1=2,"PV POWER"))</f>
        <v>PV LEISTUNG</v>
      </c>
      <c r="G2" s="58" t="str">
        <f>IF(Tabelle1!$A$1=1,"PV LEISTUNG /MPPT",IF(Tabelle1!$A$1=2,"PV POWER /MPPT"))</f>
        <v>PV LEISTUNG /MPPT</v>
      </c>
      <c r="H2" s="58" t="s">
        <v>56</v>
      </c>
      <c r="I2" s="58" t="s">
        <v>55</v>
      </c>
      <c r="J2" s="58" t="s">
        <v>54</v>
      </c>
      <c r="K2" s="58" t="s">
        <v>53</v>
      </c>
      <c r="L2" s="58" t="s">
        <v>20</v>
      </c>
      <c r="M2" s="58" t="s">
        <v>81</v>
      </c>
      <c r="N2" s="58" t="s">
        <v>21</v>
      </c>
      <c r="O2" s="76"/>
      <c r="P2" s="77"/>
      <c r="Q2" s="77"/>
      <c r="R2" s="77"/>
      <c r="S2" s="77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</row>
    <row r="3" spans="1:160" ht="16.5" thickTop="1" thickBot="1" x14ac:dyDescent="0.3">
      <c r="B3" s="92"/>
      <c r="C3" s="82"/>
      <c r="D3" s="82" t="s">
        <v>23</v>
      </c>
      <c r="E3" s="82"/>
      <c r="F3" s="82" t="s">
        <v>22</v>
      </c>
      <c r="G3" s="82" t="s">
        <v>23</v>
      </c>
      <c r="H3" s="82" t="s">
        <v>24</v>
      </c>
      <c r="I3" s="82" t="s">
        <v>24</v>
      </c>
      <c r="J3" s="82" t="s">
        <v>24</v>
      </c>
      <c r="K3" s="82" t="s">
        <v>24</v>
      </c>
      <c r="L3" s="82" t="s">
        <v>25</v>
      </c>
      <c r="M3" s="82" t="s">
        <v>25</v>
      </c>
      <c r="N3" s="82" t="s">
        <v>25</v>
      </c>
      <c r="O3" s="79" t="s">
        <v>1</v>
      </c>
      <c r="P3" s="63" t="s">
        <v>2</v>
      </c>
    </row>
    <row r="4" spans="1:160" ht="15.75" thickTop="1" x14ac:dyDescent="0.25">
      <c r="B4" s="59" t="s">
        <v>88</v>
      </c>
      <c r="C4" s="59" t="s">
        <v>0</v>
      </c>
      <c r="D4" s="80">
        <v>10</v>
      </c>
      <c r="E4" s="60">
        <v>2</v>
      </c>
      <c r="F4" s="80">
        <v>15</v>
      </c>
      <c r="G4" s="81">
        <v>10</v>
      </c>
      <c r="H4" s="80">
        <v>210</v>
      </c>
      <c r="I4" s="80">
        <v>800</v>
      </c>
      <c r="J4" s="80">
        <v>250</v>
      </c>
      <c r="K4" s="81">
        <v>900</v>
      </c>
      <c r="L4" s="80">
        <v>15</v>
      </c>
      <c r="M4" s="80">
        <v>18.600000000000001</v>
      </c>
      <c r="N4" s="80">
        <v>25</v>
      </c>
      <c r="O4" s="5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</row>
    <row r="5" spans="1:160" x14ac:dyDescent="0.25">
      <c r="B5" s="59" t="s">
        <v>89</v>
      </c>
      <c r="C5" s="59" t="s">
        <v>0</v>
      </c>
      <c r="D5" s="80">
        <v>10</v>
      </c>
      <c r="E5" s="60">
        <v>2</v>
      </c>
      <c r="F5" s="80">
        <v>15</v>
      </c>
      <c r="G5" s="81">
        <v>10</v>
      </c>
      <c r="H5" s="80">
        <v>350</v>
      </c>
      <c r="I5" s="80">
        <v>800</v>
      </c>
      <c r="J5" s="80">
        <v>350</v>
      </c>
      <c r="K5" s="81">
        <v>900</v>
      </c>
      <c r="L5" s="80">
        <v>18.600000000000001</v>
      </c>
      <c r="M5" s="80">
        <v>18.600000000000001</v>
      </c>
      <c r="N5" s="80">
        <v>25</v>
      </c>
      <c r="O5" s="5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</row>
    <row r="6" spans="1:160" x14ac:dyDescent="0.25">
      <c r="B6" s="59" t="s">
        <v>90</v>
      </c>
      <c r="C6" s="59" t="s">
        <v>0</v>
      </c>
      <c r="D6" s="80">
        <v>10</v>
      </c>
      <c r="E6" s="60">
        <v>2</v>
      </c>
      <c r="F6" s="80">
        <v>15</v>
      </c>
      <c r="G6" s="81">
        <v>10</v>
      </c>
      <c r="H6" s="80">
        <v>135</v>
      </c>
      <c r="I6" s="80">
        <v>850</v>
      </c>
      <c r="J6" s="80">
        <v>165</v>
      </c>
      <c r="K6" s="81">
        <v>1000</v>
      </c>
      <c r="L6" s="80">
        <v>30</v>
      </c>
      <c r="M6" s="80">
        <v>30</v>
      </c>
      <c r="N6" s="80">
        <v>40</v>
      </c>
      <c r="O6" s="5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</row>
    <row r="7" spans="1:160" x14ac:dyDescent="0.25">
      <c r="B7" s="59" t="s">
        <v>91</v>
      </c>
      <c r="C7" s="59" t="s">
        <v>0</v>
      </c>
      <c r="D7" s="80">
        <v>20</v>
      </c>
      <c r="E7" s="60">
        <v>2</v>
      </c>
      <c r="F7" s="80">
        <v>30</v>
      </c>
      <c r="G7" s="81">
        <v>20</v>
      </c>
      <c r="H7" s="80">
        <v>135</v>
      </c>
      <c r="I7" s="80">
        <v>850</v>
      </c>
      <c r="J7" s="80">
        <v>165</v>
      </c>
      <c r="K7" s="81">
        <v>1000</v>
      </c>
      <c r="L7" s="80">
        <v>30</v>
      </c>
      <c r="M7" s="80">
        <v>30</v>
      </c>
      <c r="N7" s="80">
        <v>40</v>
      </c>
      <c r="O7" s="5"/>
      <c r="P7" s="4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</row>
    <row r="8" spans="1:160" x14ac:dyDescent="0.25">
      <c r="B8" s="59" t="s">
        <v>92</v>
      </c>
      <c r="C8" s="59" t="s">
        <v>0</v>
      </c>
      <c r="D8" s="80">
        <v>30</v>
      </c>
      <c r="E8" s="60">
        <v>4</v>
      </c>
      <c r="F8" s="80">
        <v>45</v>
      </c>
      <c r="G8" s="81">
        <v>20</v>
      </c>
      <c r="H8" s="80">
        <v>200</v>
      </c>
      <c r="I8" s="80">
        <v>850</v>
      </c>
      <c r="J8" s="80">
        <v>230</v>
      </c>
      <c r="K8" s="81">
        <v>1000</v>
      </c>
      <c r="L8" s="80">
        <v>30</v>
      </c>
      <c r="M8" s="80">
        <v>30</v>
      </c>
      <c r="N8" s="80">
        <v>40</v>
      </c>
      <c r="O8" s="5"/>
      <c r="P8" s="4"/>
      <c r="Q8" s="4"/>
      <c r="R8" s="4"/>
      <c r="S8" s="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</row>
    <row r="9" spans="1:160" x14ac:dyDescent="0.25">
      <c r="L9" s="4"/>
      <c r="M9" s="4"/>
      <c r="N9" s="4"/>
      <c r="O9" s="5"/>
      <c r="P9" s="4"/>
      <c r="Q9" s="4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</row>
    <row r="10" spans="1:160" x14ac:dyDescent="0.25">
      <c r="L10" s="4"/>
      <c r="M10" s="4"/>
      <c r="N10" s="4"/>
      <c r="O10" s="5"/>
      <c r="P10" s="4"/>
      <c r="Q10" s="4"/>
      <c r="R10" s="4"/>
      <c r="S10" s="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</row>
    <row r="11" spans="1:160" x14ac:dyDescent="0.25">
      <c r="L11" s="4"/>
      <c r="M11" s="4"/>
      <c r="N11" s="4"/>
      <c r="O11" s="5"/>
      <c r="P11" s="4"/>
      <c r="Q11" s="4"/>
      <c r="R11" s="4"/>
      <c r="S11" s="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</row>
    <row r="12" spans="1:160" x14ac:dyDescent="0.25">
      <c r="L12" s="4"/>
      <c r="M12" s="4"/>
      <c r="N12" s="4"/>
      <c r="O12" s="5"/>
      <c r="P12" s="4"/>
      <c r="Q12" s="4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</row>
    <row r="13" spans="1:160" x14ac:dyDescent="0.25">
      <c r="B13" s="3"/>
      <c r="C13" s="3"/>
      <c r="D13" s="3"/>
      <c r="E13" s="3"/>
      <c r="F13" s="3"/>
      <c r="G13" s="3"/>
      <c r="L13" s="4"/>
      <c r="M13" s="4"/>
      <c r="N13" s="4"/>
      <c r="O13" s="5"/>
      <c r="P13" s="4"/>
      <c r="Q13" s="4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</row>
    <row r="14" spans="1:160" x14ac:dyDescent="0.25">
      <c r="L14" s="4"/>
      <c r="M14" s="4"/>
      <c r="N14" s="4"/>
      <c r="O14" s="5"/>
      <c r="P14" s="4"/>
      <c r="Q14" s="4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</row>
    <row r="15" spans="1:160" x14ac:dyDescent="0.25">
      <c r="L15" s="4"/>
      <c r="M15" s="4"/>
      <c r="N15" s="4"/>
      <c r="O15" s="5"/>
      <c r="P15" s="4"/>
      <c r="Q15" s="4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</row>
    <row r="16" spans="1:160" x14ac:dyDescent="0.25">
      <c r="L16" s="4"/>
      <c r="M16" s="4"/>
      <c r="N16" s="4"/>
      <c r="O16" s="5"/>
      <c r="P16" s="4"/>
      <c r="Q16" s="4"/>
      <c r="R16" s="4"/>
      <c r="S16" s="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</row>
    <row r="17" spans="12:160" x14ac:dyDescent="0.25">
      <c r="L17" s="4"/>
      <c r="M17" s="4"/>
      <c r="N17" s="4"/>
      <c r="O17" s="5"/>
      <c r="P17" s="4"/>
      <c r="Q17" s="4"/>
      <c r="R17" s="4"/>
      <c r="S17" s="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</row>
    <row r="18" spans="12:160" x14ac:dyDescent="0.25">
      <c r="L18" s="4"/>
      <c r="M18" s="4"/>
      <c r="N18" s="4"/>
      <c r="O18" s="5"/>
      <c r="P18" s="4"/>
      <c r="Q18" s="4"/>
      <c r="R18" s="4"/>
      <c r="S18" s="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</row>
    <row r="19" spans="12:160" x14ac:dyDescent="0.25">
      <c r="L19" s="4"/>
      <c r="M19" s="4"/>
      <c r="N19" s="4"/>
      <c r="O19" s="5"/>
      <c r="P19" s="4"/>
      <c r="Q19" s="4"/>
      <c r="R19" s="4"/>
      <c r="S19" s="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</row>
    <row r="20" spans="12:160" x14ac:dyDescent="0.25">
      <c r="L20" s="4"/>
      <c r="M20" s="4"/>
      <c r="N20" s="4"/>
      <c r="O20" s="5"/>
      <c r="P20" s="4"/>
      <c r="Q20" s="4"/>
      <c r="R20" s="4"/>
      <c r="S20" s="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</row>
    <row r="21" spans="12:160" x14ac:dyDescent="0.25">
      <c r="L21" s="4"/>
      <c r="M21" s="4"/>
      <c r="N21" s="4"/>
      <c r="O21" s="5"/>
      <c r="P21" s="4"/>
      <c r="Q21" s="4"/>
      <c r="R21" s="4"/>
      <c r="S21" s="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</row>
    <row r="22" spans="12:160" x14ac:dyDescent="0.25">
      <c r="L22" s="4"/>
      <c r="M22" s="4"/>
      <c r="N22" s="4"/>
      <c r="O22" s="5"/>
      <c r="P22" s="4"/>
      <c r="Q22" s="4"/>
      <c r="R22" s="4"/>
      <c r="S22" s="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</row>
    <row r="23" spans="12:160" x14ac:dyDescent="0.25">
      <c r="L23" s="4"/>
      <c r="M23" s="4"/>
      <c r="N23" s="4"/>
      <c r="O23" s="5"/>
      <c r="P23" s="4"/>
      <c r="Q23" s="4"/>
      <c r="R23" s="4"/>
      <c r="S23" s="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</row>
    <row r="24" spans="12:160" x14ac:dyDescent="0.25">
      <c r="L24" s="4"/>
      <c r="M24" s="4"/>
      <c r="N24" s="4"/>
      <c r="O24" s="5"/>
      <c r="P24" s="4"/>
      <c r="Q24" s="4"/>
      <c r="R24" s="4"/>
      <c r="S24" s="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</row>
    <row r="25" spans="12:160" x14ac:dyDescent="0.25">
      <c r="L25" s="4"/>
      <c r="M25" s="4"/>
      <c r="N25" s="4"/>
      <c r="O25" s="5"/>
      <c r="P25" s="4"/>
      <c r="Q25" s="4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</row>
    <row r="26" spans="12:160" x14ac:dyDescent="0.25">
      <c r="L26" s="4"/>
      <c r="M26" s="4"/>
      <c r="N26" s="4"/>
      <c r="O26" s="5"/>
      <c r="P26" s="4"/>
      <c r="Q26" s="4"/>
      <c r="R26" s="4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</row>
    <row r="27" spans="12:160" x14ac:dyDescent="0.25">
      <c r="L27" s="4"/>
      <c r="M27" s="4"/>
      <c r="N27" s="4"/>
      <c r="O27" s="5"/>
      <c r="P27" s="4"/>
      <c r="Q27" s="4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</row>
    <row r="28" spans="12:160" x14ac:dyDescent="0.25">
      <c r="L28" s="4"/>
      <c r="M28" s="4"/>
      <c r="N28" s="4"/>
      <c r="O28" s="5"/>
      <c r="P28" s="4"/>
      <c r="Q28" s="4"/>
      <c r="R28" s="4"/>
      <c r="S28" s="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</row>
    <row r="29" spans="12:160" x14ac:dyDescent="0.25">
      <c r="L29" s="4"/>
      <c r="M29" s="4"/>
      <c r="N29" s="4"/>
      <c r="O29" s="5"/>
      <c r="P29" s="4"/>
      <c r="Q29" s="4"/>
      <c r="R29" s="4"/>
      <c r="S29" s="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</row>
    <row r="30" spans="12:160" x14ac:dyDescent="0.25">
      <c r="L30" s="4"/>
      <c r="M30" s="4"/>
      <c r="N30" s="4"/>
      <c r="O30" s="5"/>
      <c r="P30" s="4"/>
      <c r="Q30" s="4"/>
      <c r="R30" s="4"/>
      <c r="S30" s="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</row>
    <row r="31" spans="12:160" x14ac:dyDescent="0.25">
      <c r="L31" s="4"/>
      <c r="M31" s="4"/>
      <c r="N31" s="4"/>
      <c r="O31" s="5"/>
      <c r="P31" s="4"/>
      <c r="Q31" s="4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</row>
    <row r="32" spans="12:160" x14ac:dyDescent="0.25">
      <c r="L32" s="4"/>
      <c r="M32" s="4"/>
      <c r="N32" s="4"/>
      <c r="O32" s="5"/>
      <c r="P32" s="4"/>
      <c r="Q32" s="4"/>
      <c r="R32" s="4"/>
      <c r="S32" s="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</row>
    <row r="33" spans="12:160" x14ac:dyDescent="0.25">
      <c r="L33" s="4"/>
      <c r="M33" s="4"/>
      <c r="N33" s="4"/>
      <c r="O33" s="5"/>
      <c r="P33" s="4"/>
      <c r="Q33" s="4"/>
      <c r="R33" s="4"/>
      <c r="S33" s="4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</row>
    <row r="34" spans="12:160" x14ac:dyDescent="0.25">
      <c r="L34" s="4"/>
      <c r="M34" s="4"/>
      <c r="N34" s="4"/>
      <c r="O34" s="5"/>
      <c r="P34" s="4"/>
      <c r="Q34" s="4"/>
      <c r="R34" s="4"/>
      <c r="S34" s="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</row>
    <row r="35" spans="12:160" x14ac:dyDescent="0.25">
      <c r="L35" s="4"/>
      <c r="M35" s="4"/>
      <c r="N35" s="4"/>
      <c r="O35" s="5"/>
      <c r="P35" s="4"/>
      <c r="Q35" s="4"/>
      <c r="R35" s="4"/>
      <c r="S35" s="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</row>
    <row r="36" spans="12:160" x14ac:dyDescent="0.25">
      <c r="L36" s="4"/>
      <c r="M36" s="4"/>
      <c r="N36" s="4"/>
      <c r="O36" s="5"/>
      <c r="P36" s="4"/>
      <c r="Q36" s="4"/>
      <c r="R36" s="4"/>
      <c r="S36" s="4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</row>
    <row r="37" spans="12:160" x14ac:dyDescent="0.25">
      <c r="L37" s="4"/>
      <c r="M37" s="4"/>
      <c r="N37" s="4"/>
      <c r="O37" s="5"/>
      <c r="P37" s="4"/>
      <c r="Q37" s="4"/>
      <c r="R37" s="4"/>
      <c r="S37" s="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</row>
    <row r="38" spans="12:160" x14ac:dyDescent="0.25">
      <c r="L38" s="4"/>
      <c r="M38" s="4"/>
      <c r="N38" s="4"/>
      <c r="O38" s="5"/>
      <c r="P38" s="4"/>
      <c r="Q38" s="4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</row>
    <row r="39" spans="12:160" x14ac:dyDescent="0.25">
      <c r="L39" s="4"/>
      <c r="M39" s="4"/>
      <c r="N39" s="4"/>
      <c r="O39" s="5"/>
      <c r="P39" s="4"/>
      <c r="Q39" s="4"/>
      <c r="R39" s="4"/>
      <c r="S39" s="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</row>
    <row r="40" spans="12:160" x14ac:dyDescent="0.25">
      <c r="L40" s="4"/>
      <c r="M40" s="4"/>
      <c r="N40" s="4"/>
      <c r="O40" s="5"/>
      <c r="P40" s="4"/>
      <c r="Q40" s="4"/>
      <c r="R40" s="4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</row>
    <row r="41" spans="12:160" x14ac:dyDescent="0.25">
      <c r="L41" s="4"/>
      <c r="M41" s="4"/>
      <c r="N41" s="4"/>
      <c r="O41" s="5"/>
      <c r="P41" s="4"/>
      <c r="Q41" s="4"/>
      <c r="R41" s="4"/>
      <c r="S41" s="4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</row>
    <row r="42" spans="12:160" x14ac:dyDescent="0.25">
      <c r="L42" s="4"/>
      <c r="M42" s="4"/>
      <c r="N42" s="4"/>
      <c r="O42" s="5"/>
      <c r="P42" s="4"/>
      <c r="Q42" s="4"/>
      <c r="R42" s="4"/>
      <c r="S42" s="4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</row>
    <row r="43" spans="12:160" x14ac:dyDescent="0.25">
      <c r="L43" s="4"/>
      <c r="M43" s="4"/>
      <c r="N43" s="4"/>
      <c r="O43" s="5"/>
      <c r="P43" s="4"/>
      <c r="Q43" s="4"/>
      <c r="R43" s="4"/>
      <c r="S43" s="4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</row>
    <row r="44" spans="12:160" x14ac:dyDescent="0.25">
      <c r="L44" s="4"/>
      <c r="M44" s="4"/>
      <c r="N44" s="4"/>
      <c r="O44" s="5"/>
      <c r="P44" s="4"/>
      <c r="Q44" s="4"/>
      <c r="R44" s="4"/>
      <c r="S44" s="4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</row>
    <row r="45" spans="12:160" x14ac:dyDescent="0.25">
      <c r="L45" s="4"/>
      <c r="M45" s="4"/>
      <c r="N45" s="4"/>
      <c r="O45" s="5"/>
      <c r="P45" s="4"/>
      <c r="Q45" s="4"/>
      <c r="R45" s="4"/>
      <c r="S45" s="4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</row>
    <row r="46" spans="12:160" x14ac:dyDescent="0.25">
      <c r="L46" s="4"/>
      <c r="M46" s="4"/>
      <c r="N46" s="4"/>
      <c r="O46" s="5"/>
      <c r="P46" s="4"/>
      <c r="Q46" s="4"/>
      <c r="R46" s="4"/>
      <c r="S46" s="4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</row>
    <row r="47" spans="12:160" x14ac:dyDescent="0.25">
      <c r="L47" s="4"/>
      <c r="M47" s="4"/>
      <c r="N47" s="4"/>
      <c r="O47" s="5"/>
      <c r="P47" s="4"/>
      <c r="Q47" s="4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</row>
    <row r="48" spans="12:160" x14ac:dyDescent="0.25">
      <c r="L48" s="4"/>
      <c r="M48" s="4"/>
      <c r="N48" s="4"/>
      <c r="O48" s="5"/>
      <c r="P48" s="4"/>
      <c r="Q48" s="4"/>
      <c r="R48" s="4"/>
      <c r="S48" s="4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</row>
    <row r="49" spans="12:160" x14ac:dyDescent="0.25">
      <c r="L49" s="4"/>
      <c r="M49" s="4"/>
      <c r="N49" s="4"/>
      <c r="O49" s="5"/>
      <c r="P49" s="4"/>
      <c r="Q49" s="4"/>
      <c r="R49" s="4"/>
      <c r="S49" s="4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</row>
    <row r="50" spans="12:160" x14ac:dyDescent="0.25">
      <c r="L50" s="4"/>
      <c r="M50" s="4"/>
      <c r="N50" s="4"/>
      <c r="O50" s="5"/>
      <c r="P50" s="4"/>
      <c r="Q50" s="4"/>
      <c r="R50" s="4"/>
      <c r="S50" s="4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</row>
    <row r="51" spans="12:160" x14ac:dyDescent="0.25">
      <c r="L51" s="4"/>
      <c r="M51" s="4"/>
      <c r="N51" s="4"/>
      <c r="O51" s="5"/>
      <c r="P51" s="4"/>
      <c r="Q51" s="4"/>
      <c r="R51" s="4"/>
      <c r="S51" s="4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</row>
    <row r="52" spans="12:160" x14ac:dyDescent="0.25">
      <c r="L52" s="4"/>
      <c r="M52" s="4"/>
      <c r="N52" s="4"/>
      <c r="O52" s="5"/>
      <c r="P52" s="4"/>
      <c r="Q52" s="4"/>
      <c r="R52" s="4"/>
      <c r="S52" s="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</row>
    <row r="53" spans="12:160" x14ac:dyDescent="0.25">
      <c r="L53" s="4"/>
      <c r="M53" s="4"/>
      <c r="N53" s="4"/>
      <c r="O53" s="5"/>
      <c r="P53" s="4"/>
      <c r="Q53" s="4"/>
      <c r="R53" s="4"/>
      <c r="S53" s="4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</row>
    <row r="54" spans="12:160" x14ac:dyDescent="0.25">
      <c r="L54" s="4"/>
      <c r="M54" s="4"/>
      <c r="N54" s="4"/>
      <c r="O54" s="5"/>
      <c r="P54" s="4"/>
      <c r="Q54" s="4"/>
      <c r="R54" s="4"/>
      <c r="S54" s="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</row>
    <row r="55" spans="12:160" x14ac:dyDescent="0.25">
      <c r="L55" s="4"/>
      <c r="M55" s="4"/>
      <c r="N55" s="4"/>
      <c r="O55" s="5"/>
      <c r="P55" s="4"/>
      <c r="Q55" s="4"/>
      <c r="R55" s="4"/>
      <c r="S55" s="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</row>
    <row r="56" spans="12:160" x14ac:dyDescent="0.25">
      <c r="L56" s="4"/>
      <c r="M56" s="4"/>
      <c r="N56" s="4"/>
      <c r="O56" s="5"/>
      <c r="P56" s="4"/>
      <c r="Q56" s="4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</row>
    <row r="57" spans="12:160" x14ac:dyDescent="0.25">
      <c r="L57" s="4"/>
      <c r="M57" s="4"/>
      <c r="N57" s="4"/>
      <c r="O57" s="5"/>
      <c r="P57" s="4"/>
      <c r="Q57" s="4"/>
      <c r="R57" s="4"/>
      <c r="S57" s="4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</row>
    <row r="58" spans="12:160" x14ac:dyDescent="0.25">
      <c r="L58" s="4"/>
      <c r="M58" s="4"/>
      <c r="N58" s="4"/>
      <c r="O58" s="5"/>
      <c r="P58" s="4"/>
      <c r="Q58" s="4"/>
      <c r="R58" s="4"/>
      <c r="S58" s="4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</row>
    <row r="59" spans="12:160" x14ac:dyDescent="0.25">
      <c r="L59" s="4"/>
      <c r="M59" s="4"/>
      <c r="N59" s="4"/>
      <c r="O59" s="5"/>
      <c r="P59" s="4"/>
      <c r="Q59" s="4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</row>
    <row r="60" spans="12:160" x14ac:dyDescent="0.25">
      <c r="L60" s="4"/>
      <c r="M60" s="4"/>
      <c r="N60" s="4"/>
      <c r="O60" s="5"/>
      <c r="P60" s="4"/>
      <c r="Q60" s="4"/>
      <c r="R60" s="4"/>
      <c r="S60" s="4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</row>
    <row r="61" spans="12:160" x14ac:dyDescent="0.25">
      <c r="L61" s="4"/>
      <c r="M61" s="4"/>
      <c r="N61" s="4"/>
      <c r="O61" s="5"/>
      <c r="P61" s="4"/>
      <c r="Q61" s="4"/>
      <c r="R61" s="4"/>
      <c r="S61" s="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</row>
    <row r="62" spans="12:160" x14ac:dyDescent="0.25">
      <c r="L62" s="4"/>
      <c r="M62" s="4"/>
      <c r="N62" s="4"/>
      <c r="O62" s="5"/>
      <c r="P62" s="4"/>
      <c r="Q62" s="4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</row>
    <row r="63" spans="12:160" x14ac:dyDescent="0.25">
      <c r="L63" s="4"/>
      <c r="M63" s="4"/>
      <c r="N63" s="4"/>
      <c r="O63" s="5"/>
      <c r="P63" s="4"/>
      <c r="Q63" s="4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</row>
    <row r="64" spans="12:160" x14ac:dyDescent="0.25">
      <c r="L64" s="4"/>
      <c r="M64" s="4"/>
      <c r="N64" s="4"/>
      <c r="O64" s="5"/>
      <c r="P64" s="4"/>
      <c r="Q64" s="4"/>
      <c r="R64" s="4"/>
      <c r="S64" s="4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</row>
    <row r="65" spans="12:160" x14ac:dyDescent="0.25">
      <c r="L65" s="4"/>
      <c r="M65" s="4"/>
      <c r="N65" s="4"/>
      <c r="O65" s="5"/>
      <c r="P65" s="4"/>
      <c r="Q65" s="4"/>
      <c r="R65" s="4"/>
      <c r="S65" s="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</row>
    <row r="66" spans="12:160" x14ac:dyDescent="0.25">
      <c r="L66" s="4"/>
      <c r="M66" s="4"/>
      <c r="N66" s="4"/>
      <c r="O66" s="5"/>
      <c r="P66" s="4"/>
      <c r="Q66" s="4"/>
      <c r="R66" s="4"/>
      <c r="S66" s="4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</row>
    <row r="67" spans="12:160" x14ac:dyDescent="0.25">
      <c r="L67" s="4"/>
      <c r="M67" s="4"/>
      <c r="N67" s="4"/>
      <c r="O67" s="5"/>
      <c r="P67" s="4"/>
      <c r="Q67" s="4"/>
      <c r="R67" s="4"/>
      <c r="S67" s="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</row>
    <row r="68" spans="12:160" x14ac:dyDescent="0.25">
      <c r="L68" s="4"/>
      <c r="M68" s="4"/>
      <c r="N68" s="4"/>
      <c r="O68" s="5"/>
      <c r="P68" s="4"/>
      <c r="Q68" s="4"/>
      <c r="R68" s="4"/>
      <c r="S68" s="4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</row>
    <row r="69" spans="12:160" x14ac:dyDescent="0.25">
      <c r="L69" s="4"/>
      <c r="M69" s="4"/>
      <c r="N69" s="4"/>
      <c r="O69" s="5"/>
      <c r="P69" s="4"/>
      <c r="Q69" s="4"/>
      <c r="R69" s="4"/>
      <c r="S69" s="4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</row>
    <row r="70" spans="12:160" x14ac:dyDescent="0.25">
      <c r="L70" s="4"/>
      <c r="M70" s="4"/>
      <c r="N70" s="4"/>
      <c r="O70" s="5"/>
      <c r="P70" s="4"/>
      <c r="Q70" s="4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</row>
    <row r="71" spans="12:160" x14ac:dyDescent="0.25">
      <c r="L71" s="4"/>
      <c r="M71" s="4"/>
      <c r="N71" s="4"/>
      <c r="O71" s="5"/>
      <c r="P71" s="4"/>
      <c r="Q71" s="4"/>
      <c r="R71" s="4"/>
      <c r="S71" s="4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</row>
    <row r="72" spans="12:160" x14ac:dyDescent="0.25">
      <c r="L72" s="4"/>
      <c r="M72" s="4"/>
      <c r="N72" s="4"/>
      <c r="O72" s="5"/>
      <c r="P72" s="4"/>
      <c r="Q72" s="4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</row>
    <row r="73" spans="12:160" x14ac:dyDescent="0.25">
      <c r="L73" s="4"/>
      <c r="M73" s="4"/>
      <c r="N73" s="4"/>
      <c r="O73" s="5"/>
      <c r="P73" s="4"/>
      <c r="Q73" s="4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</row>
    <row r="74" spans="12:160" x14ac:dyDescent="0.25">
      <c r="L74" s="4"/>
      <c r="M74" s="4"/>
      <c r="N74" s="4"/>
      <c r="O74" s="5"/>
      <c r="P74" s="4"/>
      <c r="Q74" s="4"/>
      <c r="R74" s="4"/>
      <c r="S74" s="4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</row>
    <row r="75" spans="12:160" x14ac:dyDescent="0.25">
      <c r="L75" s="4"/>
      <c r="M75" s="4"/>
      <c r="N75" s="4"/>
      <c r="O75" s="5"/>
      <c r="P75" s="4"/>
      <c r="Q75" s="4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</row>
    <row r="76" spans="12:160" x14ac:dyDescent="0.25">
      <c r="L76" s="4"/>
      <c r="M76" s="4"/>
      <c r="N76" s="4"/>
      <c r="O76" s="5"/>
      <c r="P76" s="4"/>
      <c r="Q76" s="4"/>
      <c r="R76" s="4"/>
      <c r="S76" s="4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</row>
    <row r="77" spans="12:160" x14ac:dyDescent="0.25">
      <c r="L77" s="4"/>
      <c r="M77" s="4"/>
      <c r="N77" s="4"/>
      <c r="O77" s="5"/>
      <c r="P77" s="4"/>
      <c r="Q77" s="4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</row>
    <row r="78" spans="12:160" x14ac:dyDescent="0.25">
      <c r="L78" s="4"/>
      <c r="M78" s="4"/>
      <c r="N78" s="4"/>
      <c r="O78" s="5"/>
      <c r="P78" s="4"/>
      <c r="Q78" s="4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</row>
    <row r="79" spans="12:160" x14ac:dyDescent="0.25">
      <c r="L79" s="4"/>
      <c r="M79" s="4"/>
      <c r="N79" s="4"/>
      <c r="O79" s="5"/>
      <c r="P79" s="4"/>
      <c r="Q79" s="4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</row>
    <row r="80" spans="12:160" x14ac:dyDescent="0.25">
      <c r="L80" s="4"/>
      <c r="M80" s="4"/>
      <c r="N80" s="4"/>
      <c r="O80" s="5"/>
      <c r="P80" s="4"/>
      <c r="Q80" s="4"/>
      <c r="R80" s="4"/>
      <c r="S80" s="4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</row>
    <row r="81" spans="12:160" x14ac:dyDescent="0.25">
      <c r="L81" s="4"/>
      <c r="M81" s="4"/>
      <c r="N81" s="4"/>
      <c r="O81" s="5"/>
      <c r="P81" s="4"/>
      <c r="Q81" s="4"/>
      <c r="R81" s="4"/>
      <c r="S81" s="4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</row>
    <row r="82" spans="12:160" x14ac:dyDescent="0.25">
      <c r="L82" s="4"/>
      <c r="M82" s="4"/>
      <c r="N82" s="4"/>
      <c r="O82" s="5"/>
      <c r="P82" s="4"/>
      <c r="Q82" s="4"/>
      <c r="R82" s="4"/>
      <c r="S82" s="4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</row>
    <row r="83" spans="12:160" x14ac:dyDescent="0.25">
      <c r="L83" s="4"/>
      <c r="M83" s="4"/>
      <c r="N83" s="4"/>
      <c r="O83" s="5"/>
      <c r="P83" s="4"/>
      <c r="Q83" s="4"/>
      <c r="R83" s="4"/>
      <c r="S83" s="4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</row>
    <row r="84" spans="12:160" x14ac:dyDescent="0.25">
      <c r="L84" s="4"/>
      <c r="M84" s="4"/>
      <c r="N84" s="4"/>
      <c r="O84" s="5"/>
      <c r="P84" s="4"/>
      <c r="Q84" s="4"/>
      <c r="R84" s="4"/>
      <c r="S84" s="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</row>
    <row r="85" spans="12:160" x14ac:dyDescent="0.25">
      <c r="L85" s="4"/>
      <c r="M85" s="4"/>
      <c r="N85" s="4"/>
      <c r="O85" s="5"/>
      <c r="P85" s="4"/>
      <c r="Q85" s="4"/>
      <c r="R85" s="4"/>
      <c r="S85" s="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</row>
    <row r="86" spans="12:160" x14ac:dyDescent="0.25">
      <c r="L86" s="4"/>
      <c r="M86" s="4"/>
      <c r="N86" s="4"/>
      <c r="O86" s="5"/>
      <c r="P86" s="4"/>
      <c r="Q86" s="4"/>
      <c r="R86" s="4"/>
      <c r="S86" s="4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</row>
    <row r="87" spans="12:160" x14ac:dyDescent="0.25">
      <c r="L87" s="4"/>
      <c r="M87" s="4"/>
      <c r="N87" s="4"/>
      <c r="O87" s="5"/>
      <c r="P87" s="4"/>
      <c r="Q87" s="4"/>
      <c r="R87" s="4"/>
      <c r="S87" s="4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</row>
    <row r="88" spans="12:160" x14ac:dyDescent="0.25">
      <c r="L88" s="4"/>
      <c r="M88" s="4"/>
      <c r="N88" s="4"/>
      <c r="O88" s="5"/>
      <c r="P88" s="4"/>
      <c r="Q88" s="4"/>
      <c r="R88" s="4"/>
      <c r="S88" s="4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</row>
    <row r="89" spans="12:160" x14ac:dyDescent="0.25">
      <c r="L89" s="4"/>
      <c r="M89" s="4"/>
      <c r="N89" s="4"/>
      <c r="O89" s="5"/>
      <c r="P89" s="4"/>
      <c r="Q89" s="4"/>
      <c r="R89" s="4"/>
      <c r="S89" s="4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</row>
    <row r="90" spans="12:160" x14ac:dyDescent="0.25">
      <c r="L90" s="4"/>
      <c r="M90" s="4"/>
      <c r="N90" s="4"/>
      <c r="O90" s="5"/>
      <c r="P90" s="4"/>
      <c r="Q90" s="4"/>
      <c r="R90" s="4"/>
      <c r="S90" s="4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</row>
    <row r="91" spans="12:160" x14ac:dyDescent="0.25">
      <c r="L91" s="4"/>
      <c r="M91" s="4"/>
      <c r="N91" s="4"/>
      <c r="O91" s="5"/>
      <c r="P91" s="4"/>
      <c r="Q91" s="4"/>
      <c r="R91" s="4"/>
      <c r="S91" s="4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</row>
    <row r="92" spans="12:160" x14ac:dyDescent="0.25">
      <c r="L92" s="4"/>
      <c r="M92" s="4"/>
      <c r="N92" s="4"/>
      <c r="O92" s="5"/>
      <c r="P92" s="4"/>
      <c r="Q92" s="4"/>
      <c r="R92" s="4"/>
      <c r="S92" s="4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</row>
    <row r="93" spans="12:160" x14ac:dyDescent="0.25">
      <c r="L93" s="4"/>
      <c r="M93" s="4"/>
      <c r="N93" s="4"/>
      <c r="O93" s="5"/>
      <c r="P93" s="4"/>
      <c r="Q93" s="4"/>
      <c r="R93" s="4"/>
      <c r="S93" s="4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</row>
    <row r="94" spans="12:160" x14ac:dyDescent="0.25">
      <c r="L94" s="4"/>
      <c r="M94" s="4"/>
      <c r="N94" s="4"/>
      <c r="O94" s="5"/>
      <c r="P94" s="4"/>
      <c r="Q94" s="4"/>
      <c r="R94" s="4"/>
      <c r="S94" s="4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</row>
    <row r="95" spans="12:160" x14ac:dyDescent="0.25">
      <c r="L95" s="4"/>
      <c r="M95" s="4"/>
      <c r="N95" s="4"/>
      <c r="O95" s="5"/>
      <c r="P95" s="4"/>
      <c r="Q95" s="4"/>
      <c r="R95" s="4"/>
      <c r="S95" s="4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</row>
    <row r="96" spans="12:160" x14ac:dyDescent="0.25">
      <c r="L96" s="4"/>
      <c r="M96" s="4"/>
      <c r="N96" s="4"/>
      <c r="O96" s="5"/>
      <c r="P96" s="4"/>
      <c r="Q96" s="4"/>
      <c r="R96" s="4"/>
      <c r="S96" s="4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</row>
    <row r="97" spans="12:160" x14ac:dyDescent="0.25">
      <c r="L97" s="4"/>
      <c r="M97" s="4"/>
      <c r="N97" s="4"/>
      <c r="O97" s="5"/>
      <c r="P97" s="4"/>
      <c r="Q97" s="4"/>
      <c r="R97" s="4"/>
      <c r="S97" s="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</row>
    <row r="98" spans="12:160" x14ac:dyDescent="0.25">
      <c r="L98" s="4"/>
      <c r="M98" s="4"/>
      <c r="N98" s="4"/>
      <c r="O98" s="5"/>
      <c r="P98" s="4"/>
      <c r="Q98" s="4"/>
      <c r="R98" s="4"/>
      <c r="S98" s="4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</row>
    <row r="99" spans="12:160" x14ac:dyDescent="0.25">
      <c r="L99" s="4"/>
      <c r="M99" s="4"/>
      <c r="N99" s="4"/>
      <c r="O99" s="5"/>
      <c r="P99" s="4"/>
      <c r="Q99" s="4"/>
      <c r="R99" s="4"/>
      <c r="S99" s="4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</row>
    <row r="100" spans="12:160" x14ac:dyDescent="0.25">
      <c r="L100" s="4"/>
      <c r="M100" s="4"/>
      <c r="N100" s="4"/>
      <c r="O100" s="5"/>
      <c r="P100" s="4"/>
      <c r="Q100" s="4"/>
      <c r="R100" s="4"/>
      <c r="S100" s="4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</row>
    <row r="101" spans="12:160" x14ac:dyDescent="0.25">
      <c r="L101" s="4"/>
      <c r="M101" s="4"/>
      <c r="N101" s="4"/>
      <c r="O101" s="5"/>
      <c r="P101" s="4"/>
      <c r="Q101" s="4"/>
      <c r="R101" s="4"/>
      <c r="S101" s="4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</row>
    <row r="102" spans="12:160" x14ac:dyDescent="0.25">
      <c r="L102" s="4"/>
      <c r="M102" s="4"/>
      <c r="N102" s="4"/>
      <c r="O102" s="5"/>
      <c r="P102" s="4"/>
      <c r="Q102" s="4"/>
      <c r="R102" s="4"/>
      <c r="S102" s="4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</row>
    <row r="103" spans="12:160" x14ac:dyDescent="0.25">
      <c r="L103" s="4"/>
      <c r="M103" s="4"/>
      <c r="N103" s="4"/>
      <c r="O103" s="5"/>
      <c r="P103" s="4"/>
      <c r="Q103" s="4"/>
      <c r="R103" s="4"/>
      <c r="S103" s="4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</row>
    <row r="104" spans="12:160" x14ac:dyDescent="0.25">
      <c r="L104" s="4"/>
      <c r="M104" s="4"/>
      <c r="N104" s="4"/>
      <c r="O104" s="5"/>
      <c r="P104" s="4"/>
      <c r="Q104" s="4"/>
      <c r="R104" s="4"/>
      <c r="S104" s="4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</row>
    <row r="105" spans="12:160" x14ac:dyDescent="0.25">
      <c r="L105" s="4"/>
      <c r="M105" s="4"/>
      <c r="N105" s="4"/>
      <c r="O105" s="5"/>
      <c r="P105" s="4"/>
      <c r="Q105" s="4"/>
      <c r="R105" s="4"/>
      <c r="S105" s="4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</row>
    <row r="106" spans="12:160" x14ac:dyDescent="0.25">
      <c r="L106" s="4"/>
      <c r="M106" s="4"/>
      <c r="N106" s="4"/>
      <c r="O106" s="5"/>
      <c r="P106" s="4"/>
      <c r="Q106" s="4"/>
      <c r="R106" s="4"/>
      <c r="S106" s="4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</row>
    <row r="107" spans="12:160" x14ac:dyDescent="0.25">
      <c r="L107" s="4"/>
      <c r="M107" s="4"/>
      <c r="N107" s="4"/>
      <c r="O107" s="5"/>
      <c r="P107" s="4"/>
      <c r="Q107" s="4"/>
      <c r="R107" s="4"/>
      <c r="S107" s="4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</row>
    <row r="108" spans="12:160" x14ac:dyDescent="0.25">
      <c r="L108" s="4"/>
      <c r="M108" s="4"/>
      <c r="N108" s="4"/>
      <c r="O108" s="5"/>
      <c r="P108" s="4"/>
      <c r="Q108" s="4"/>
      <c r="R108" s="4"/>
      <c r="S108" s="4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</row>
    <row r="109" spans="12:160" x14ac:dyDescent="0.25">
      <c r="L109" s="4"/>
      <c r="M109" s="4"/>
      <c r="N109" s="4"/>
      <c r="O109" s="5"/>
      <c r="P109" s="4"/>
      <c r="Q109" s="4"/>
      <c r="R109" s="4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</row>
    <row r="110" spans="12:160" x14ac:dyDescent="0.25">
      <c r="L110" s="4"/>
      <c r="M110" s="4"/>
      <c r="N110" s="4"/>
      <c r="O110" s="5"/>
      <c r="P110" s="4"/>
      <c r="Q110" s="4"/>
      <c r="R110" s="4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</row>
    <row r="111" spans="12:160" x14ac:dyDescent="0.25">
      <c r="L111" s="4"/>
      <c r="M111" s="4"/>
      <c r="N111" s="4"/>
      <c r="O111" s="5"/>
      <c r="P111" s="4"/>
      <c r="Q111" s="4"/>
      <c r="R111" s="4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</row>
    <row r="112" spans="12:160" x14ac:dyDescent="0.25">
      <c r="L112" s="4"/>
      <c r="M112" s="4"/>
      <c r="N112" s="4"/>
      <c r="O112" s="5"/>
      <c r="P112" s="4"/>
      <c r="Q112" s="4"/>
      <c r="R112" s="4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</row>
    <row r="113" spans="12:160" x14ac:dyDescent="0.25">
      <c r="L113" s="4"/>
      <c r="M113" s="4"/>
      <c r="N113" s="4"/>
      <c r="O113" s="5"/>
      <c r="P113" s="4"/>
      <c r="Q113" s="4"/>
      <c r="R113" s="4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</row>
    <row r="114" spans="12:160" x14ac:dyDescent="0.25">
      <c r="L114" s="4"/>
      <c r="M114" s="4"/>
      <c r="N114" s="4"/>
      <c r="O114" s="5"/>
      <c r="P114" s="4"/>
      <c r="Q114" s="4"/>
      <c r="R114" s="4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</row>
    <row r="115" spans="12:160" x14ac:dyDescent="0.25">
      <c r="L115" s="4"/>
      <c r="M115" s="4"/>
      <c r="N115" s="4"/>
      <c r="O115" s="5"/>
      <c r="P115" s="4"/>
      <c r="Q115" s="4"/>
      <c r="R115" s="4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</row>
    <row r="116" spans="12:160" x14ac:dyDescent="0.25">
      <c r="L116" s="4"/>
      <c r="M116" s="4"/>
      <c r="N116" s="4"/>
      <c r="O116" s="5"/>
      <c r="P116" s="4"/>
      <c r="Q116" s="4"/>
      <c r="R116" s="4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</row>
    <row r="117" spans="12:160" x14ac:dyDescent="0.25">
      <c r="L117" s="4"/>
      <c r="M117" s="4"/>
      <c r="N117" s="4"/>
      <c r="O117" s="5"/>
      <c r="P117" s="4"/>
      <c r="Q117" s="4"/>
      <c r="R117" s="4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</row>
    <row r="118" spans="12:160" x14ac:dyDescent="0.25">
      <c r="L118" s="4"/>
      <c r="M118" s="4"/>
      <c r="N118" s="4"/>
      <c r="O118" s="5"/>
      <c r="P118" s="4"/>
      <c r="Q118" s="4"/>
      <c r="R118" s="4"/>
      <c r="S118" s="4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</row>
    <row r="119" spans="12:160" x14ac:dyDescent="0.25">
      <c r="L119" s="4"/>
      <c r="M119" s="4"/>
      <c r="N119" s="4"/>
      <c r="O119" s="5"/>
      <c r="P119" s="4"/>
      <c r="Q119" s="4"/>
      <c r="R119" s="4"/>
      <c r="S119" s="4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</row>
    <row r="120" spans="12:160" x14ac:dyDescent="0.25">
      <c r="L120" s="4"/>
      <c r="M120" s="4"/>
      <c r="N120" s="4"/>
      <c r="O120" s="5"/>
      <c r="P120" s="4"/>
      <c r="Q120" s="4"/>
      <c r="R120" s="4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</row>
    <row r="121" spans="12:160" x14ac:dyDescent="0.25">
      <c r="L121" s="4"/>
      <c r="M121" s="4"/>
      <c r="N121" s="4"/>
      <c r="O121" s="5"/>
      <c r="P121" s="4"/>
      <c r="Q121" s="4"/>
      <c r="R121" s="4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</row>
    <row r="122" spans="12:160" x14ac:dyDescent="0.25">
      <c r="L122" s="4"/>
      <c r="M122" s="4"/>
      <c r="N122" s="4"/>
      <c r="O122" s="5"/>
      <c r="P122" s="4"/>
      <c r="Q122" s="4"/>
      <c r="R122" s="4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</row>
    <row r="123" spans="12:160" x14ac:dyDescent="0.25">
      <c r="L123" s="4"/>
      <c r="M123" s="4"/>
      <c r="N123" s="4"/>
      <c r="O123" s="5"/>
      <c r="P123" s="4"/>
      <c r="Q123" s="4"/>
      <c r="R123" s="4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</row>
    <row r="124" spans="12:160" x14ac:dyDescent="0.25">
      <c r="L124" s="4"/>
      <c r="M124" s="4"/>
      <c r="N124" s="4"/>
      <c r="O124" s="5"/>
      <c r="P124" s="4"/>
      <c r="Q124" s="4"/>
      <c r="R124" s="4"/>
      <c r="S124" s="4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</row>
    <row r="125" spans="12:160" x14ac:dyDescent="0.25">
      <c r="L125" s="4"/>
      <c r="M125" s="4"/>
      <c r="N125" s="4"/>
      <c r="O125" s="5"/>
      <c r="P125" s="4"/>
      <c r="Q125" s="4"/>
      <c r="R125" s="4"/>
      <c r="S125" s="4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</row>
    <row r="126" spans="12:160" x14ac:dyDescent="0.25">
      <c r="L126" s="4"/>
      <c r="M126" s="4"/>
      <c r="N126" s="4"/>
      <c r="O126" s="5"/>
      <c r="P126" s="4"/>
      <c r="Q126" s="4"/>
      <c r="R126" s="4"/>
      <c r="S126" s="4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</row>
    <row r="127" spans="12:160" x14ac:dyDescent="0.25">
      <c r="L127" s="4"/>
      <c r="M127" s="4"/>
      <c r="N127" s="4"/>
      <c r="O127" s="5"/>
      <c r="P127" s="4"/>
      <c r="Q127" s="4"/>
      <c r="R127" s="4"/>
      <c r="S127" s="4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</row>
    <row r="128" spans="12:160" x14ac:dyDescent="0.25">
      <c r="L128" s="4"/>
      <c r="M128" s="4"/>
      <c r="N128" s="4"/>
      <c r="O128" s="5"/>
      <c r="P128" s="4"/>
      <c r="Q128" s="4"/>
      <c r="R128" s="4"/>
      <c r="S128" s="4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</row>
    <row r="129" spans="12:160" x14ac:dyDescent="0.25">
      <c r="L129" s="4"/>
      <c r="M129" s="4"/>
      <c r="N129" s="4"/>
      <c r="O129" s="5"/>
      <c r="P129" s="4"/>
      <c r="Q129" s="4"/>
      <c r="R129" s="4"/>
      <c r="S129" s="4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</row>
    <row r="130" spans="12:160" x14ac:dyDescent="0.25">
      <c r="L130" s="4"/>
      <c r="M130" s="4"/>
      <c r="N130" s="4"/>
      <c r="O130" s="5"/>
      <c r="P130" s="4"/>
      <c r="Q130" s="4"/>
      <c r="R130" s="4"/>
      <c r="S130" s="4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</row>
    <row r="131" spans="12:160" x14ac:dyDescent="0.25">
      <c r="L131" s="4"/>
      <c r="M131" s="4"/>
      <c r="N131" s="4"/>
      <c r="O131" s="5"/>
      <c r="P131" s="4"/>
      <c r="Q131" s="4"/>
      <c r="R131" s="4"/>
      <c r="S131" s="4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</row>
    <row r="132" spans="12:160" x14ac:dyDescent="0.25">
      <c r="L132" s="4"/>
      <c r="M132" s="4"/>
      <c r="N132" s="4"/>
      <c r="O132" s="5"/>
      <c r="P132" s="4"/>
      <c r="Q132" s="4"/>
      <c r="R132" s="4"/>
      <c r="S132" s="4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</row>
    <row r="133" spans="12:160" x14ac:dyDescent="0.25">
      <c r="L133" s="4"/>
      <c r="M133" s="4"/>
      <c r="N133" s="4"/>
      <c r="O133" s="5"/>
      <c r="P133" s="4"/>
      <c r="Q133" s="4"/>
      <c r="R133" s="4"/>
      <c r="S133" s="4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</row>
    <row r="134" spans="12:160" x14ac:dyDescent="0.25">
      <c r="L134" s="4"/>
      <c r="M134" s="4"/>
      <c r="N134" s="4"/>
      <c r="O134" s="5"/>
      <c r="P134" s="4"/>
      <c r="Q134" s="4"/>
      <c r="R134" s="4"/>
      <c r="S134" s="4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</row>
    <row r="135" spans="12:160" x14ac:dyDescent="0.25">
      <c r="L135" s="4"/>
      <c r="M135" s="4"/>
      <c r="N135" s="4"/>
      <c r="O135" s="5"/>
      <c r="P135" s="4"/>
      <c r="Q135" s="4"/>
      <c r="R135" s="4"/>
      <c r="S135" s="4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</row>
    <row r="136" spans="12:160" x14ac:dyDescent="0.25">
      <c r="L136" s="4"/>
      <c r="M136" s="4"/>
      <c r="N136" s="4"/>
      <c r="O136" s="5"/>
      <c r="P136" s="4"/>
      <c r="Q136" s="4"/>
      <c r="R136" s="4"/>
      <c r="S136" s="4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</row>
    <row r="137" spans="12:160" x14ac:dyDescent="0.25">
      <c r="L137" s="4"/>
      <c r="M137" s="4"/>
      <c r="N137" s="4"/>
      <c r="O137" s="5"/>
      <c r="P137" s="4"/>
      <c r="Q137" s="4"/>
      <c r="R137" s="4"/>
      <c r="S137" s="4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</row>
    <row r="138" spans="12:160" x14ac:dyDescent="0.25">
      <c r="L138" s="4"/>
      <c r="M138" s="4"/>
      <c r="N138" s="4"/>
      <c r="O138" s="5"/>
      <c r="P138" s="4"/>
      <c r="Q138" s="4"/>
      <c r="R138" s="4"/>
      <c r="S138" s="4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</row>
    <row r="139" spans="12:160" x14ac:dyDescent="0.25">
      <c r="L139" s="4"/>
      <c r="M139" s="4"/>
      <c r="N139" s="4"/>
      <c r="O139" s="5"/>
      <c r="P139" s="4"/>
      <c r="Q139" s="4"/>
      <c r="R139" s="4"/>
      <c r="S139" s="4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</row>
    <row r="140" spans="12:160" x14ac:dyDescent="0.25">
      <c r="L140" s="4"/>
      <c r="M140" s="4"/>
      <c r="N140" s="4"/>
      <c r="O140" s="5"/>
      <c r="P140" s="4"/>
      <c r="Q140" s="4"/>
      <c r="R140" s="4"/>
      <c r="S140" s="4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</row>
    <row r="141" spans="12:160" x14ac:dyDescent="0.25">
      <c r="L141" s="4"/>
      <c r="M141" s="4"/>
      <c r="N141" s="4"/>
      <c r="O141" s="5"/>
      <c r="P141" s="4"/>
      <c r="Q141" s="4"/>
      <c r="R141" s="4"/>
      <c r="S141" s="4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</row>
    <row r="142" spans="12:160" x14ac:dyDescent="0.25">
      <c r="L142" s="4"/>
      <c r="M142" s="4"/>
      <c r="N142" s="4"/>
      <c r="O142" s="5"/>
      <c r="P142" s="4"/>
      <c r="Q142" s="4"/>
      <c r="R142" s="4"/>
      <c r="S142" s="4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</row>
    <row r="143" spans="12:160" x14ac:dyDescent="0.25">
      <c r="L143" s="4"/>
      <c r="M143" s="4"/>
      <c r="N143" s="4"/>
      <c r="O143" s="5"/>
      <c r="P143" s="4"/>
      <c r="Q143" s="4"/>
      <c r="R143" s="4"/>
      <c r="S143" s="4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</row>
    <row r="144" spans="12:160" x14ac:dyDescent="0.25">
      <c r="L144" s="4"/>
      <c r="M144" s="4"/>
      <c r="N144" s="4"/>
      <c r="O144" s="5"/>
      <c r="P144" s="4"/>
      <c r="Q144" s="4"/>
      <c r="R144" s="4"/>
      <c r="S144" s="4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</row>
    <row r="145" spans="12:160" x14ac:dyDescent="0.25">
      <c r="L145" s="4"/>
      <c r="M145" s="4"/>
      <c r="N145" s="4"/>
      <c r="O145" s="5"/>
      <c r="P145" s="4"/>
      <c r="Q145" s="4"/>
      <c r="R145" s="4"/>
      <c r="S145" s="4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</row>
    <row r="146" spans="12:160" x14ac:dyDescent="0.25">
      <c r="L146" s="4"/>
      <c r="M146" s="4"/>
      <c r="N146" s="4"/>
      <c r="O146" s="5"/>
      <c r="P146" s="4"/>
      <c r="Q146" s="4"/>
      <c r="R146" s="4"/>
      <c r="S146" s="4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</row>
    <row r="147" spans="12:160" x14ac:dyDescent="0.25">
      <c r="L147" s="4"/>
      <c r="M147" s="4"/>
      <c r="N147" s="4"/>
      <c r="O147" s="5"/>
      <c r="P147" s="4"/>
      <c r="Q147" s="4"/>
      <c r="R147" s="4"/>
      <c r="S147" s="4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</row>
    <row r="148" spans="12:160" x14ac:dyDescent="0.25">
      <c r="L148" s="4"/>
      <c r="M148" s="4"/>
      <c r="N148" s="4"/>
      <c r="O148" s="5"/>
      <c r="P148" s="4"/>
      <c r="Q148" s="4"/>
      <c r="R148" s="4"/>
      <c r="S148" s="4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</row>
    <row r="149" spans="12:160" x14ac:dyDescent="0.25">
      <c r="L149" s="4"/>
      <c r="M149" s="4"/>
      <c r="N149" s="4"/>
      <c r="O149" s="5"/>
      <c r="P149" s="4"/>
      <c r="Q149" s="4"/>
      <c r="R149" s="4"/>
      <c r="S149" s="4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</row>
    <row r="150" spans="12:160" x14ac:dyDescent="0.25">
      <c r="L150" s="4"/>
      <c r="M150" s="4"/>
      <c r="N150" s="4"/>
      <c r="O150" s="5"/>
      <c r="P150" s="4"/>
      <c r="Q150" s="4"/>
      <c r="R150" s="4"/>
      <c r="S150" s="4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</row>
    <row r="151" spans="12:160" x14ac:dyDescent="0.25">
      <c r="L151" s="4"/>
      <c r="M151" s="4"/>
      <c r="N151" s="4"/>
      <c r="O151" s="5"/>
      <c r="P151" s="4"/>
      <c r="Q151" s="4"/>
      <c r="R151" s="4"/>
      <c r="S151" s="4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</row>
    <row r="152" spans="12:160" x14ac:dyDescent="0.25">
      <c r="L152" s="4"/>
      <c r="M152" s="4"/>
      <c r="N152" s="4"/>
      <c r="O152" s="5"/>
      <c r="P152" s="4"/>
      <c r="Q152" s="4"/>
      <c r="R152" s="4"/>
      <c r="S152" s="4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</row>
    <row r="153" spans="12:160" x14ac:dyDescent="0.25">
      <c r="L153" s="4"/>
      <c r="M153" s="4"/>
      <c r="N153" s="4"/>
      <c r="O153" s="5"/>
      <c r="P153" s="4"/>
      <c r="Q153" s="4"/>
      <c r="R153" s="4"/>
      <c r="S153" s="4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</row>
    <row r="154" spans="12:160" x14ac:dyDescent="0.25">
      <c r="L154" s="4"/>
      <c r="M154" s="4"/>
      <c r="N154" s="4"/>
      <c r="O154" s="5"/>
      <c r="P154" s="4"/>
      <c r="Q154" s="4"/>
      <c r="R154" s="4"/>
      <c r="S154" s="4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</row>
    <row r="155" spans="12:160" x14ac:dyDescent="0.25">
      <c r="L155" s="4"/>
      <c r="M155" s="4"/>
      <c r="N155" s="4"/>
      <c r="O155" s="5"/>
      <c r="P155" s="4"/>
      <c r="Q155" s="4"/>
      <c r="R155" s="4"/>
      <c r="S155" s="4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</row>
    <row r="156" spans="12:160" x14ac:dyDescent="0.25">
      <c r="L156" s="4"/>
      <c r="M156" s="4"/>
      <c r="N156" s="4"/>
      <c r="O156" s="5"/>
      <c r="P156" s="4"/>
      <c r="Q156" s="4"/>
      <c r="R156" s="4"/>
      <c r="S156" s="4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</row>
    <row r="157" spans="12:160" x14ac:dyDescent="0.25">
      <c r="L157" s="4"/>
      <c r="M157" s="4"/>
      <c r="N157" s="4"/>
      <c r="O157" s="5"/>
      <c r="P157" s="4"/>
      <c r="Q157" s="4"/>
      <c r="R157" s="4"/>
      <c r="S157" s="4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</row>
    <row r="158" spans="12:160" x14ac:dyDescent="0.25">
      <c r="L158" s="4"/>
      <c r="M158" s="4"/>
      <c r="N158" s="4"/>
      <c r="O158" s="5"/>
      <c r="P158" s="4"/>
      <c r="Q158" s="4"/>
      <c r="R158" s="4"/>
      <c r="S158" s="4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</row>
    <row r="159" spans="12:160" x14ac:dyDescent="0.25">
      <c r="L159" s="4"/>
      <c r="M159" s="4"/>
      <c r="N159" s="4"/>
      <c r="O159" s="5"/>
      <c r="P159" s="4"/>
      <c r="Q159" s="4"/>
      <c r="R159" s="4"/>
      <c r="S159" s="4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</row>
    <row r="160" spans="12:160" x14ac:dyDescent="0.25">
      <c r="L160" s="4"/>
      <c r="M160" s="4"/>
      <c r="N160" s="4"/>
      <c r="O160" s="5"/>
      <c r="P160" s="4"/>
      <c r="Q160" s="4"/>
      <c r="R160" s="4"/>
      <c r="S160" s="4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</row>
    <row r="161" spans="12:160" x14ac:dyDescent="0.25">
      <c r="L161" s="4"/>
      <c r="M161" s="4"/>
      <c r="N161" s="4"/>
      <c r="O161" s="5"/>
      <c r="P161" s="4"/>
      <c r="Q161" s="4"/>
      <c r="R161" s="4"/>
      <c r="S161" s="4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</row>
    <row r="162" spans="12:160" x14ac:dyDescent="0.25">
      <c r="L162" s="4"/>
      <c r="M162" s="4"/>
      <c r="N162" s="4"/>
      <c r="O162" s="5"/>
      <c r="P162" s="4"/>
      <c r="Q162" s="4"/>
      <c r="R162" s="4"/>
      <c r="S162" s="4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</row>
    <row r="163" spans="12:160" x14ac:dyDescent="0.25">
      <c r="L163" s="4"/>
      <c r="M163" s="4"/>
      <c r="N163" s="4"/>
      <c r="O163" s="5"/>
      <c r="P163" s="4"/>
      <c r="Q163" s="4"/>
      <c r="R163" s="4"/>
      <c r="S163" s="4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</row>
    <row r="164" spans="12:160" x14ac:dyDescent="0.25">
      <c r="L164" s="4"/>
      <c r="M164" s="4"/>
      <c r="N164" s="4"/>
      <c r="O164" s="5"/>
      <c r="P164" s="4"/>
      <c r="Q164" s="4"/>
      <c r="R164" s="4"/>
      <c r="S164" s="4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</row>
    <row r="165" spans="12:160" x14ac:dyDescent="0.25">
      <c r="L165" s="4"/>
      <c r="M165" s="4"/>
      <c r="N165" s="4"/>
      <c r="O165" s="5"/>
      <c r="P165" s="4"/>
      <c r="Q165" s="4"/>
      <c r="R165" s="4"/>
      <c r="S165" s="4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</row>
    <row r="166" spans="12:160" x14ac:dyDescent="0.25">
      <c r="L166" s="4"/>
      <c r="M166" s="4"/>
      <c r="N166" s="4"/>
      <c r="O166" s="5"/>
      <c r="P166" s="4"/>
      <c r="Q166" s="4"/>
      <c r="R166" s="4"/>
      <c r="S166" s="4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</row>
    <row r="167" spans="12:160" x14ac:dyDescent="0.25">
      <c r="L167" s="4"/>
      <c r="M167" s="4"/>
      <c r="N167" s="4"/>
      <c r="O167" s="5"/>
      <c r="P167" s="4"/>
      <c r="Q167" s="4"/>
      <c r="R167" s="4"/>
      <c r="S167" s="4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</row>
    <row r="168" spans="12:160" x14ac:dyDescent="0.25">
      <c r="L168" s="4"/>
      <c r="M168" s="4"/>
      <c r="N168" s="4"/>
      <c r="O168" s="5"/>
      <c r="P168" s="4"/>
      <c r="Q168" s="4"/>
      <c r="R168" s="4"/>
      <c r="S168" s="4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</row>
    <row r="169" spans="12:160" x14ac:dyDescent="0.25">
      <c r="L169" s="4"/>
      <c r="M169" s="4"/>
      <c r="N169" s="4"/>
      <c r="O169" s="5"/>
      <c r="P169" s="4"/>
      <c r="Q169" s="4"/>
      <c r="R169" s="4"/>
      <c r="S169" s="4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</row>
    <row r="170" spans="12:160" x14ac:dyDescent="0.25">
      <c r="L170" s="4"/>
      <c r="M170" s="4"/>
      <c r="N170" s="4"/>
      <c r="O170" s="5"/>
      <c r="P170" s="4"/>
      <c r="Q170" s="4"/>
      <c r="R170" s="4"/>
      <c r="S170" s="4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</row>
    <row r="171" spans="12:160" x14ac:dyDescent="0.25">
      <c r="L171" s="4"/>
      <c r="M171" s="4"/>
      <c r="N171" s="4"/>
      <c r="O171" s="5"/>
      <c r="P171" s="4"/>
      <c r="Q171" s="4"/>
      <c r="R171" s="4"/>
      <c r="S171" s="4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</row>
    <row r="172" spans="12:160" x14ac:dyDescent="0.25">
      <c r="L172" s="4"/>
      <c r="M172" s="4"/>
      <c r="N172" s="4"/>
      <c r="O172" s="5"/>
      <c r="P172" s="4"/>
      <c r="Q172" s="4"/>
      <c r="R172" s="4"/>
      <c r="S172" s="4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</row>
    <row r="173" spans="12:160" x14ac:dyDescent="0.25">
      <c r="L173" s="4"/>
      <c r="M173" s="4"/>
      <c r="N173" s="4"/>
      <c r="O173" s="5"/>
      <c r="P173" s="4"/>
      <c r="Q173" s="4"/>
      <c r="R173" s="4"/>
      <c r="S173" s="4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</row>
    <row r="174" spans="12:160" x14ac:dyDescent="0.25">
      <c r="L174" s="4"/>
      <c r="M174" s="4"/>
      <c r="N174" s="4"/>
      <c r="O174" s="5"/>
      <c r="P174" s="4"/>
      <c r="Q174" s="4"/>
      <c r="R174" s="4"/>
      <c r="S174" s="4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</row>
    <row r="175" spans="12:160" x14ac:dyDescent="0.25">
      <c r="L175" s="4"/>
      <c r="M175" s="4"/>
      <c r="N175" s="4"/>
      <c r="O175" s="5"/>
      <c r="P175" s="4"/>
      <c r="Q175" s="4"/>
      <c r="R175" s="4"/>
      <c r="S175" s="4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</row>
    <row r="176" spans="12:160" x14ac:dyDescent="0.25">
      <c r="L176" s="4"/>
      <c r="M176" s="4"/>
      <c r="N176" s="4"/>
      <c r="O176" s="5"/>
      <c r="P176" s="4"/>
      <c r="Q176" s="4"/>
      <c r="R176" s="4"/>
      <c r="S176" s="4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</row>
    <row r="177" spans="12:160" x14ac:dyDescent="0.25">
      <c r="L177" s="4"/>
      <c r="M177" s="4"/>
      <c r="N177" s="4"/>
      <c r="O177" s="5"/>
      <c r="P177" s="4"/>
      <c r="Q177" s="4"/>
      <c r="R177" s="4"/>
      <c r="S177" s="4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</row>
    <row r="178" spans="12:160" x14ac:dyDescent="0.25">
      <c r="L178" s="4"/>
      <c r="M178" s="4"/>
      <c r="N178" s="4"/>
      <c r="O178" s="5"/>
      <c r="P178" s="4"/>
      <c r="Q178" s="4"/>
      <c r="R178" s="4"/>
      <c r="S178" s="4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</row>
    <row r="179" spans="12:160" x14ac:dyDescent="0.25">
      <c r="L179" s="4"/>
      <c r="M179" s="4"/>
      <c r="N179" s="4"/>
      <c r="O179" s="5"/>
      <c r="P179" s="4"/>
      <c r="Q179" s="4"/>
      <c r="R179" s="4"/>
      <c r="S179" s="4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</row>
    <row r="180" spans="12:160" x14ac:dyDescent="0.25">
      <c r="L180" s="4"/>
      <c r="M180" s="4"/>
      <c r="N180" s="4"/>
      <c r="O180" s="5"/>
      <c r="P180" s="4"/>
      <c r="Q180" s="4"/>
      <c r="R180" s="4"/>
      <c r="S180" s="4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</row>
    <row r="181" spans="12:160" x14ac:dyDescent="0.25">
      <c r="L181" s="4"/>
      <c r="M181" s="4"/>
      <c r="N181" s="4"/>
      <c r="O181" s="5"/>
      <c r="P181" s="4"/>
      <c r="Q181" s="4"/>
      <c r="R181" s="4"/>
      <c r="S181" s="4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</row>
    <row r="182" spans="12:160" x14ac:dyDescent="0.25">
      <c r="L182" s="4"/>
      <c r="M182" s="4"/>
      <c r="N182" s="4"/>
      <c r="O182" s="5"/>
      <c r="P182" s="4"/>
      <c r="Q182" s="4"/>
      <c r="R182" s="4"/>
      <c r="S182" s="4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</row>
    <row r="183" spans="12:160" x14ac:dyDescent="0.25">
      <c r="L183" s="4"/>
      <c r="M183" s="4"/>
      <c r="N183" s="4"/>
      <c r="O183" s="5"/>
      <c r="P183" s="4"/>
      <c r="Q183" s="4"/>
      <c r="R183" s="4"/>
      <c r="S183" s="4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</row>
    <row r="184" spans="12:160" x14ac:dyDescent="0.25">
      <c r="L184" s="4"/>
      <c r="M184" s="4"/>
      <c r="N184" s="4"/>
      <c r="O184" s="5"/>
      <c r="P184" s="4"/>
      <c r="Q184" s="4"/>
      <c r="R184" s="4"/>
      <c r="S184" s="4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</row>
    <row r="185" spans="12:160" x14ac:dyDescent="0.25">
      <c r="L185" s="4"/>
      <c r="M185" s="4"/>
      <c r="N185" s="4"/>
      <c r="O185" s="5"/>
      <c r="P185" s="4"/>
      <c r="Q185" s="4"/>
      <c r="R185" s="4"/>
      <c r="S185" s="4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</row>
    <row r="186" spans="12:160" x14ac:dyDescent="0.25">
      <c r="L186" s="4"/>
      <c r="M186" s="4"/>
      <c r="N186" s="4"/>
      <c r="O186" s="5"/>
      <c r="P186" s="4"/>
      <c r="Q186" s="4"/>
      <c r="R186" s="4"/>
      <c r="S186" s="4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</row>
    <row r="187" spans="12:160" x14ac:dyDescent="0.25">
      <c r="L187" s="4"/>
      <c r="M187" s="4"/>
      <c r="N187" s="4"/>
      <c r="O187" s="5"/>
      <c r="P187" s="4"/>
      <c r="Q187" s="4"/>
      <c r="R187" s="4"/>
      <c r="S187" s="4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</row>
    <row r="188" spans="12:160" x14ac:dyDescent="0.25">
      <c r="L188" s="4"/>
      <c r="M188" s="4"/>
      <c r="N188" s="4"/>
      <c r="O188" s="5"/>
      <c r="P188" s="4"/>
      <c r="Q188" s="4"/>
      <c r="R188" s="4"/>
      <c r="S188" s="4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</row>
    <row r="189" spans="12:160" x14ac:dyDescent="0.25">
      <c r="L189" s="4"/>
      <c r="M189" s="4"/>
      <c r="N189" s="4"/>
      <c r="O189" s="5"/>
      <c r="P189" s="4"/>
      <c r="Q189" s="4"/>
      <c r="R189" s="4"/>
      <c r="S189" s="4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</row>
    <row r="190" spans="12:160" x14ac:dyDescent="0.25">
      <c r="L190" s="4"/>
      <c r="M190" s="4"/>
      <c r="N190" s="4"/>
      <c r="O190" s="5"/>
      <c r="P190" s="4"/>
      <c r="Q190" s="4"/>
      <c r="R190" s="4"/>
      <c r="S190" s="4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</row>
    <row r="191" spans="12:160" x14ac:dyDescent="0.25">
      <c r="L191" s="4"/>
      <c r="M191" s="4"/>
      <c r="N191" s="4"/>
      <c r="O191" s="5"/>
      <c r="P191" s="4"/>
      <c r="Q191" s="4"/>
      <c r="R191" s="4"/>
      <c r="S191" s="4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</row>
    <row r="192" spans="12:160" x14ac:dyDescent="0.25">
      <c r="L192" s="4"/>
      <c r="M192" s="4"/>
      <c r="N192" s="4"/>
      <c r="O192" s="5"/>
      <c r="P192" s="4"/>
      <c r="Q192" s="4"/>
      <c r="R192" s="4"/>
      <c r="S192" s="4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</row>
    <row r="193" spans="12:160" x14ac:dyDescent="0.25">
      <c r="L193" s="4"/>
      <c r="M193" s="4"/>
      <c r="N193" s="4"/>
      <c r="O193" s="5"/>
      <c r="P193" s="4"/>
      <c r="Q193" s="4"/>
      <c r="R193" s="4"/>
      <c r="S193" s="4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</row>
    <row r="194" spans="12:160" x14ac:dyDescent="0.25">
      <c r="L194" s="4"/>
      <c r="M194" s="4"/>
      <c r="N194" s="4"/>
      <c r="O194" s="5"/>
      <c r="P194" s="4"/>
      <c r="Q194" s="4"/>
      <c r="R194" s="4"/>
      <c r="S194" s="4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</row>
    <row r="195" spans="12:160" x14ac:dyDescent="0.25">
      <c r="L195" s="4"/>
      <c r="M195" s="4"/>
      <c r="N195" s="4"/>
      <c r="O195" s="5"/>
      <c r="P195" s="4"/>
      <c r="Q195" s="4"/>
      <c r="R195" s="4"/>
      <c r="S195" s="4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</row>
    <row r="196" spans="12:160" x14ac:dyDescent="0.25">
      <c r="L196" s="4"/>
      <c r="M196" s="4"/>
      <c r="N196" s="4"/>
      <c r="O196" s="5"/>
      <c r="P196" s="4"/>
      <c r="Q196" s="4"/>
      <c r="R196" s="4"/>
      <c r="S196" s="4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</row>
    <row r="197" spans="12:160" x14ac:dyDescent="0.25">
      <c r="L197" s="4"/>
      <c r="M197" s="4"/>
      <c r="N197" s="4"/>
      <c r="O197" s="5"/>
      <c r="P197" s="4"/>
      <c r="Q197" s="4"/>
      <c r="R197" s="4"/>
      <c r="S197" s="4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</row>
    <row r="198" spans="12:160" x14ac:dyDescent="0.25">
      <c r="L198" s="4"/>
      <c r="M198" s="4"/>
      <c r="N198" s="4"/>
      <c r="O198" s="5"/>
      <c r="P198" s="4"/>
      <c r="Q198" s="4"/>
      <c r="R198" s="4"/>
      <c r="S198" s="4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</row>
    <row r="199" spans="12:160" x14ac:dyDescent="0.25">
      <c r="L199" s="4"/>
      <c r="M199" s="4"/>
      <c r="N199" s="4"/>
      <c r="O199" s="5"/>
      <c r="P199" s="4"/>
      <c r="Q199" s="4"/>
      <c r="R199" s="4"/>
      <c r="S199" s="4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</row>
    <row r="200" spans="12:160" x14ac:dyDescent="0.25">
      <c r="L200" s="4"/>
      <c r="M200" s="4"/>
      <c r="N200" s="4"/>
      <c r="O200" s="5"/>
      <c r="P200" s="4"/>
      <c r="Q200" s="4"/>
      <c r="R200" s="4"/>
      <c r="S200" s="4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</row>
    <row r="201" spans="12:160" x14ac:dyDescent="0.25">
      <c r="L201" s="4"/>
      <c r="M201" s="4"/>
      <c r="N201" s="4"/>
      <c r="O201" s="5"/>
      <c r="P201" s="4"/>
      <c r="Q201" s="4"/>
      <c r="R201" s="4"/>
      <c r="S201" s="4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</row>
    <row r="202" spans="12:160" x14ac:dyDescent="0.25">
      <c r="L202" s="4"/>
      <c r="M202" s="4"/>
      <c r="N202" s="4"/>
      <c r="O202" s="5"/>
      <c r="P202" s="4"/>
      <c r="Q202" s="4"/>
      <c r="R202" s="4"/>
      <c r="S202" s="4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</row>
    <row r="203" spans="12:160" x14ac:dyDescent="0.25">
      <c r="L203" s="4"/>
      <c r="M203" s="4"/>
      <c r="N203" s="4"/>
      <c r="O203" s="5"/>
      <c r="P203" s="4"/>
      <c r="Q203" s="4"/>
      <c r="R203" s="4"/>
      <c r="S203" s="4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</row>
    <row r="204" spans="12:160" x14ac:dyDescent="0.25">
      <c r="L204" s="4"/>
      <c r="M204" s="4"/>
      <c r="N204" s="4"/>
      <c r="O204" s="5"/>
      <c r="P204" s="4"/>
      <c r="Q204" s="4"/>
      <c r="R204" s="4"/>
      <c r="S204" s="4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</row>
    <row r="205" spans="12:160" x14ac:dyDescent="0.25">
      <c r="L205" s="4"/>
      <c r="M205" s="4"/>
      <c r="N205" s="4"/>
      <c r="O205" s="5"/>
      <c r="P205" s="4"/>
      <c r="Q205" s="4"/>
      <c r="R205" s="4"/>
      <c r="S205" s="4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</row>
    <row r="206" spans="12:160" x14ac:dyDescent="0.25">
      <c r="L206" s="4"/>
      <c r="M206" s="4"/>
      <c r="N206" s="4"/>
      <c r="O206" s="5"/>
      <c r="P206" s="4"/>
      <c r="Q206" s="4"/>
      <c r="R206" s="4"/>
      <c r="S206" s="4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</row>
    <row r="207" spans="12:160" x14ac:dyDescent="0.25">
      <c r="L207" s="4"/>
      <c r="M207" s="4"/>
      <c r="N207" s="4"/>
      <c r="O207" s="5"/>
      <c r="P207" s="4"/>
      <c r="Q207" s="4"/>
      <c r="R207" s="4"/>
      <c r="S207" s="4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</row>
    <row r="208" spans="12:160" x14ac:dyDescent="0.25">
      <c r="L208" s="4"/>
      <c r="M208" s="4"/>
      <c r="N208" s="4"/>
      <c r="O208" s="5"/>
      <c r="P208" s="4"/>
      <c r="Q208" s="4"/>
      <c r="R208" s="4"/>
      <c r="S208" s="4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</row>
    <row r="209" spans="12:160" x14ac:dyDescent="0.25">
      <c r="L209" s="4"/>
      <c r="M209" s="4"/>
      <c r="N209" s="4"/>
      <c r="O209" s="5"/>
      <c r="P209" s="4"/>
      <c r="Q209" s="4"/>
      <c r="R209" s="4"/>
      <c r="S209" s="4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</row>
    <row r="210" spans="12:160" x14ac:dyDescent="0.25">
      <c r="L210" s="4"/>
      <c r="M210" s="4"/>
      <c r="N210" s="4"/>
      <c r="O210" s="5"/>
      <c r="P210" s="4"/>
      <c r="Q210" s="4"/>
      <c r="R210" s="4"/>
      <c r="S210" s="4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</row>
    <row r="211" spans="12:160" x14ac:dyDescent="0.25">
      <c r="L211" s="4"/>
      <c r="M211" s="4"/>
      <c r="N211" s="4"/>
      <c r="O211" s="5"/>
      <c r="P211" s="4"/>
      <c r="Q211" s="4"/>
      <c r="R211" s="4"/>
      <c r="S211" s="4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</row>
    <row r="212" spans="12:160" x14ac:dyDescent="0.25">
      <c r="L212" s="4"/>
      <c r="M212" s="4"/>
      <c r="N212" s="4"/>
      <c r="O212" s="5"/>
      <c r="P212" s="4"/>
      <c r="Q212" s="4"/>
      <c r="R212" s="4"/>
      <c r="S212" s="4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</row>
    <row r="213" spans="12:160" x14ac:dyDescent="0.25">
      <c r="L213" s="4"/>
      <c r="M213" s="4"/>
      <c r="N213" s="4"/>
      <c r="O213" s="5"/>
      <c r="P213" s="4"/>
      <c r="Q213" s="4"/>
      <c r="R213" s="4"/>
      <c r="S213" s="4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</row>
    <row r="214" spans="12:160" x14ac:dyDescent="0.25">
      <c r="L214" s="4"/>
      <c r="M214" s="4"/>
      <c r="N214" s="4"/>
      <c r="O214" s="5"/>
      <c r="P214" s="4"/>
      <c r="Q214" s="4"/>
      <c r="R214" s="4"/>
      <c r="S214" s="4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</row>
    <row r="215" spans="12:160" x14ac:dyDescent="0.25">
      <c r="L215" s="4"/>
      <c r="M215" s="4"/>
      <c r="N215" s="4"/>
      <c r="O215" s="5"/>
      <c r="P215" s="4"/>
      <c r="Q215" s="4"/>
      <c r="R215" s="4"/>
      <c r="S215" s="4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</row>
    <row r="216" spans="12:160" x14ac:dyDescent="0.25">
      <c r="L216" s="4"/>
      <c r="M216" s="4"/>
      <c r="N216" s="4"/>
      <c r="O216" s="5"/>
      <c r="P216" s="4"/>
      <c r="Q216" s="4"/>
      <c r="R216" s="4"/>
      <c r="S216" s="4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</row>
    <row r="217" spans="12:160" x14ac:dyDescent="0.25">
      <c r="L217" s="4"/>
      <c r="M217" s="4"/>
      <c r="N217" s="4"/>
      <c r="O217" s="5"/>
      <c r="P217" s="4"/>
      <c r="Q217" s="4"/>
      <c r="R217" s="4"/>
      <c r="S217" s="4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</row>
    <row r="218" spans="12:160" x14ac:dyDescent="0.25">
      <c r="L218" s="4"/>
      <c r="M218" s="4"/>
      <c r="N218" s="4"/>
      <c r="O218" s="5"/>
      <c r="P218" s="4"/>
      <c r="Q218" s="4"/>
      <c r="R218" s="4"/>
      <c r="S218" s="4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</row>
    <row r="219" spans="12:160" x14ac:dyDescent="0.25">
      <c r="L219" s="4"/>
      <c r="M219" s="4"/>
      <c r="N219" s="4"/>
      <c r="O219" s="5"/>
      <c r="P219" s="4"/>
      <c r="Q219" s="4"/>
      <c r="R219" s="4"/>
      <c r="S219" s="4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</row>
    <row r="220" spans="12:160" x14ac:dyDescent="0.25">
      <c r="L220" s="4"/>
      <c r="M220" s="4"/>
      <c r="N220" s="4"/>
      <c r="O220" s="5"/>
      <c r="P220" s="4"/>
      <c r="Q220" s="4"/>
      <c r="R220" s="4"/>
      <c r="S220" s="4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</row>
    <row r="221" spans="12:160" x14ac:dyDescent="0.25">
      <c r="L221" s="4"/>
      <c r="M221" s="4"/>
      <c r="N221" s="4"/>
      <c r="O221" s="5"/>
      <c r="P221" s="4"/>
      <c r="Q221" s="4"/>
      <c r="R221" s="4"/>
      <c r="S221" s="4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</row>
    <row r="222" spans="12:160" x14ac:dyDescent="0.25">
      <c r="L222" s="4"/>
      <c r="M222" s="4"/>
      <c r="N222" s="4"/>
      <c r="O222" s="5"/>
      <c r="P222" s="4"/>
      <c r="Q222" s="4"/>
      <c r="R222" s="4"/>
      <c r="S222" s="4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</row>
    <row r="223" spans="12:160" x14ac:dyDescent="0.25">
      <c r="L223" s="4"/>
      <c r="M223" s="4"/>
      <c r="N223" s="4"/>
      <c r="O223" s="5"/>
      <c r="P223" s="4"/>
      <c r="Q223" s="4"/>
      <c r="R223" s="4"/>
      <c r="S223" s="4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</row>
    <row r="224" spans="12:160" x14ac:dyDescent="0.25">
      <c r="L224" s="4"/>
      <c r="M224" s="4"/>
      <c r="N224" s="4"/>
      <c r="O224" s="5"/>
      <c r="P224" s="4"/>
      <c r="Q224" s="4"/>
      <c r="R224" s="4"/>
      <c r="S224" s="4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</row>
    <row r="225" spans="12:160" x14ac:dyDescent="0.25">
      <c r="L225" s="4"/>
      <c r="M225" s="4"/>
      <c r="N225" s="4"/>
      <c r="O225" s="5"/>
      <c r="P225" s="4"/>
      <c r="Q225" s="4"/>
      <c r="R225" s="4"/>
      <c r="S225" s="4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</row>
    <row r="226" spans="12:160" x14ac:dyDescent="0.25">
      <c r="L226" s="4"/>
      <c r="M226" s="4"/>
      <c r="N226" s="4"/>
      <c r="O226" s="5"/>
      <c r="P226" s="4"/>
      <c r="Q226" s="4"/>
      <c r="R226" s="4"/>
      <c r="S226" s="4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</row>
    <row r="227" spans="12:160" x14ac:dyDescent="0.25">
      <c r="L227" s="4"/>
      <c r="M227" s="4"/>
      <c r="N227" s="4"/>
      <c r="O227" s="5"/>
      <c r="P227" s="4"/>
      <c r="Q227" s="4"/>
      <c r="R227" s="4"/>
      <c r="S227" s="4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</row>
    <row r="228" spans="12:160" x14ac:dyDescent="0.25">
      <c r="L228" s="4"/>
      <c r="M228" s="4"/>
      <c r="N228" s="4"/>
      <c r="O228" s="5"/>
      <c r="P228" s="4"/>
      <c r="Q228" s="4"/>
      <c r="R228" s="4"/>
      <c r="S228" s="4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</row>
    <row r="229" spans="12:160" x14ac:dyDescent="0.25">
      <c r="L229" s="4"/>
      <c r="M229" s="4"/>
      <c r="N229" s="4"/>
      <c r="O229" s="5"/>
      <c r="P229" s="4"/>
      <c r="Q229" s="4"/>
      <c r="R229" s="4"/>
      <c r="S229" s="4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</row>
    <row r="230" spans="12:160" x14ac:dyDescent="0.25">
      <c r="L230" s="4"/>
      <c r="M230" s="4"/>
      <c r="N230" s="4"/>
      <c r="O230" s="5"/>
      <c r="P230" s="4"/>
      <c r="Q230" s="4"/>
      <c r="R230" s="4"/>
      <c r="S230" s="4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</row>
    <row r="231" spans="12:160" x14ac:dyDescent="0.25">
      <c r="L231" s="4"/>
      <c r="M231" s="4"/>
      <c r="N231" s="4"/>
      <c r="O231" s="5"/>
      <c r="P231" s="4"/>
      <c r="Q231" s="4"/>
      <c r="R231" s="4"/>
      <c r="S231" s="4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</row>
    <row r="232" spans="12:160" x14ac:dyDescent="0.25">
      <c r="L232" s="4"/>
      <c r="M232" s="4"/>
      <c r="N232" s="4"/>
      <c r="O232" s="5"/>
      <c r="P232" s="4"/>
      <c r="Q232" s="4"/>
      <c r="R232" s="4"/>
      <c r="S232" s="4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</row>
    <row r="233" spans="12:160" x14ac:dyDescent="0.25">
      <c r="L233" s="4"/>
      <c r="M233" s="4"/>
      <c r="N233" s="4"/>
      <c r="O233" s="5"/>
      <c r="P233" s="4"/>
      <c r="Q233" s="4"/>
      <c r="R233" s="4"/>
      <c r="S233" s="4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</row>
    <row r="234" spans="12:160" x14ac:dyDescent="0.25">
      <c r="L234" s="4"/>
      <c r="M234" s="4"/>
      <c r="N234" s="4"/>
      <c r="O234" s="5"/>
      <c r="P234" s="4"/>
      <c r="Q234" s="4"/>
      <c r="R234" s="4"/>
      <c r="S234" s="4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</row>
    <row r="235" spans="12:160" x14ac:dyDescent="0.25">
      <c r="L235" s="4"/>
      <c r="M235" s="4"/>
      <c r="N235" s="4"/>
      <c r="O235" s="5"/>
      <c r="P235" s="4"/>
      <c r="Q235" s="4"/>
      <c r="R235" s="4"/>
      <c r="S235" s="4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</row>
    <row r="236" spans="12:160" x14ac:dyDescent="0.25">
      <c r="L236" s="4"/>
      <c r="M236" s="4"/>
      <c r="N236" s="4"/>
      <c r="O236" s="5"/>
      <c r="P236" s="4"/>
      <c r="Q236" s="4"/>
      <c r="R236" s="4"/>
      <c r="S236" s="4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</row>
    <row r="237" spans="12:160" x14ac:dyDescent="0.25">
      <c r="L237" s="4"/>
      <c r="M237" s="4"/>
      <c r="N237" s="4"/>
      <c r="O237" s="5"/>
      <c r="P237" s="4"/>
      <c r="Q237" s="4"/>
      <c r="R237" s="4"/>
      <c r="S237" s="4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</row>
    <row r="238" spans="12:160" x14ac:dyDescent="0.25">
      <c r="L238" s="4"/>
      <c r="M238" s="4"/>
      <c r="N238" s="4"/>
      <c r="O238" s="5"/>
      <c r="P238" s="4"/>
      <c r="Q238" s="4"/>
      <c r="R238" s="4"/>
      <c r="S238" s="4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</row>
    <row r="239" spans="12:160" x14ac:dyDescent="0.25">
      <c r="L239" s="4"/>
      <c r="M239" s="4"/>
      <c r="N239" s="4"/>
      <c r="O239" s="5"/>
      <c r="P239" s="4"/>
      <c r="Q239" s="4"/>
      <c r="R239" s="4"/>
      <c r="S239" s="4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</row>
    <row r="240" spans="12:160" x14ac:dyDescent="0.25">
      <c r="L240" s="4"/>
      <c r="M240" s="4"/>
      <c r="N240" s="4"/>
      <c r="O240" s="5"/>
      <c r="P240" s="4"/>
      <c r="Q240" s="4"/>
      <c r="R240" s="4"/>
      <c r="S240" s="4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</row>
    <row r="241" spans="12:160" x14ac:dyDescent="0.25">
      <c r="L241" s="4"/>
      <c r="M241" s="4"/>
      <c r="N241" s="4"/>
      <c r="O241" s="5"/>
      <c r="P241" s="4"/>
      <c r="Q241" s="4"/>
      <c r="R241" s="4"/>
      <c r="S241" s="4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</row>
    <row r="242" spans="12:160" x14ac:dyDescent="0.25">
      <c r="L242" s="4"/>
      <c r="M242" s="4"/>
      <c r="N242" s="4"/>
      <c r="O242" s="5"/>
      <c r="P242" s="4"/>
      <c r="Q242" s="4"/>
      <c r="R242" s="4"/>
      <c r="S242" s="4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</row>
    <row r="243" spans="12:160" x14ac:dyDescent="0.25">
      <c r="L243" s="4"/>
      <c r="M243" s="4"/>
      <c r="N243" s="4"/>
      <c r="O243" s="5"/>
      <c r="P243" s="4"/>
      <c r="Q243" s="4"/>
      <c r="R243" s="4"/>
      <c r="S243" s="4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</row>
    <row r="244" spans="12:160" x14ac:dyDescent="0.25">
      <c r="L244" s="4"/>
      <c r="M244" s="4"/>
      <c r="N244" s="4"/>
      <c r="O244" s="5"/>
      <c r="P244" s="4"/>
      <c r="Q244" s="4"/>
      <c r="R244" s="4"/>
      <c r="S244" s="4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</row>
    <row r="245" spans="12:160" x14ac:dyDescent="0.25">
      <c r="L245" s="4"/>
      <c r="M245" s="4"/>
      <c r="N245" s="4"/>
      <c r="O245" s="5"/>
      <c r="P245" s="4"/>
      <c r="Q245" s="4"/>
      <c r="R245" s="4"/>
      <c r="S245" s="4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</row>
    <row r="246" spans="12:160" x14ac:dyDescent="0.25">
      <c r="L246" s="4"/>
      <c r="M246" s="4"/>
      <c r="N246" s="4"/>
      <c r="O246" s="5"/>
      <c r="P246" s="4"/>
      <c r="Q246" s="4"/>
      <c r="R246" s="4"/>
      <c r="S246" s="4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</row>
    <row r="247" spans="12:160" x14ac:dyDescent="0.25">
      <c r="L247" s="4"/>
      <c r="M247" s="4"/>
      <c r="N247" s="4"/>
      <c r="O247" s="5"/>
      <c r="P247" s="4"/>
      <c r="Q247" s="4"/>
      <c r="R247" s="4"/>
      <c r="S247" s="4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</row>
    <row r="248" spans="12:160" x14ac:dyDescent="0.25">
      <c r="L248" s="4"/>
      <c r="M248" s="4"/>
      <c r="N248" s="4"/>
      <c r="O248" s="5"/>
      <c r="P248" s="4"/>
      <c r="Q248" s="4"/>
      <c r="R248" s="4"/>
      <c r="S248" s="4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</row>
    <row r="249" spans="12:160" x14ac:dyDescent="0.25">
      <c r="L249" s="4"/>
      <c r="M249" s="4"/>
      <c r="N249" s="4"/>
      <c r="O249" s="5"/>
      <c r="P249" s="4"/>
      <c r="Q249" s="4"/>
      <c r="R249" s="4"/>
      <c r="S249" s="4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</row>
    <row r="250" spans="12:160" x14ac:dyDescent="0.25">
      <c r="L250" s="4"/>
      <c r="M250" s="4"/>
      <c r="N250" s="4"/>
      <c r="O250" s="5"/>
      <c r="P250" s="4"/>
      <c r="Q250" s="4"/>
      <c r="R250" s="4"/>
      <c r="S250" s="4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</row>
    <row r="251" spans="12:160" x14ac:dyDescent="0.25">
      <c r="L251" s="4"/>
      <c r="M251" s="4"/>
      <c r="N251" s="4"/>
      <c r="O251" s="5"/>
      <c r="P251" s="4"/>
      <c r="Q251" s="4"/>
      <c r="R251" s="4"/>
      <c r="S251" s="4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</row>
    <row r="252" spans="12:160" x14ac:dyDescent="0.25">
      <c r="L252" s="4"/>
      <c r="M252" s="4"/>
      <c r="N252" s="4"/>
      <c r="O252" s="5"/>
      <c r="P252" s="4"/>
      <c r="Q252" s="4"/>
      <c r="R252" s="4"/>
      <c r="S252" s="4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</row>
    <row r="253" spans="12:160" x14ac:dyDescent="0.25">
      <c r="L253" s="4"/>
      <c r="M253" s="4"/>
      <c r="N253" s="4"/>
      <c r="O253" s="5"/>
      <c r="P253" s="4"/>
      <c r="Q253" s="4"/>
      <c r="R253" s="4"/>
      <c r="S253" s="4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</row>
    <row r="254" spans="12:160" x14ac:dyDescent="0.25">
      <c r="L254" s="4"/>
      <c r="M254" s="4"/>
      <c r="N254" s="4"/>
      <c r="O254" s="5"/>
      <c r="P254" s="4"/>
      <c r="Q254" s="4"/>
      <c r="R254" s="4"/>
      <c r="S254" s="4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</row>
    <row r="255" spans="12:160" x14ac:dyDescent="0.25">
      <c r="L255" s="4"/>
      <c r="M255" s="4"/>
      <c r="N255" s="4"/>
      <c r="O255" s="5"/>
      <c r="P255" s="4"/>
      <c r="Q255" s="4"/>
      <c r="R255" s="4"/>
      <c r="S255" s="4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</row>
    <row r="256" spans="12:160" x14ac:dyDescent="0.25">
      <c r="L256" s="4"/>
      <c r="M256" s="4"/>
      <c r="N256" s="4"/>
      <c r="O256" s="5"/>
      <c r="P256" s="4"/>
      <c r="Q256" s="4"/>
      <c r="R256" s="4"/>
      <c r="S256" s="4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</row>
    <row r="257" spans="12:160" x14ac:dyDescent="0.25">
      <c r="L257" s="4"/>
      <c r="M257" s="4"/>
      <c r="N257" s="4"/>
      <c r="O257" s="5"/>
      <c r="P257" s="4"/>
      <c r="Q257" s="4"/>
      <c r="R257" s="4"/>
      <c r="S257" s="4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</row>
    <row r="258" spans="12:160" x14ac:dyDescent="0.25">
      <c r="L258" s="4"/>
      <c r="M258" s="4"/>
      <c r="N258" s="4"/>
      <c r="O258" s="5"/>
      <c r="P258" s="4"/>
      <c r="Q258" s="4"/>
      <c r="R258" s="4"/>
      <c r="S258" s="4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</row>
    <row r="259" spans="12:160" x14ac:dyDescent="0.25">
      <c r="L259" s="4"/>
      <c r="M259" s="4"/>
      <c r="N259" s="4"/>
      <c r="O259" s="5"/>
      <c r="P259" s="4"/>
      <c r="Q259" s="4"/>
      <c r="R259" s="4"/>
      <c r="S259" s="4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</row>
    <row r="260" spans="12:160" x14ac:dyDescent="0.25">
      <c r="L260" s="4"/>
      <c r="M260" s="4"/>
      <c r="N260" s="4"/>
      <c r="O260" s="5"/>
      <c r="P260" s="4"/>
      <c r="Q260" s="4"/>
      <c r="R260" s="4"/>
      <c r="S260" s="4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</row>
    <row r="261" spans="12:160" x14ac:dyDescent="0.25">
      <c r="L261" s="4"/>
      <c r="M261" s="4"/>
      <c r="N261" s="4"/>
      <c r="O261" s="5"/>
      <c r="P261" s="4"/>
      <c r="Q261" s="4"/>
      <c r="R261" s="4"/>
      <c r="S261" s="4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</row>
    <row r="262" spans="12:160" x14ac:dyDescent="0.25">
      <c r="L262" s="4"/>
      <c r="M262" s="4"/>
      <c r="N262" s="4"/>
      <c r="O262" s="5"/>
      <c r="P262" s="4"/>
      <c r="Q262" s="4"/>
      <c r="R262" s="4"/>
      <c r="S262" s="4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</row>
    <row r="263" spans="12:160" x14ac:dyDescent="0.25">
      <c r="L263" s="4"/>
      <c r="M263" s="4"/>
      <c r="N263" s="4"/>
      <c r="O263" s="5"/>
      <c r="P263" s="4"/>
      <c r="Q263" s="4"/>
      <c r="R263" s="4"/>
      <c r="S263" s="4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</row>
    <row r="264" spans="12:160" x14ac:dyDescent="0.25">
      <c r="L264" s="4"/>
      <c r="M264" s="4"/>
      <c r="N264" s="4"/>
      <c r="O264" s="5"/>
      <c r="P264" s="4"/>
      <c r="Q264" s="4"/>
      <c r="R264" s="4"/>
      <c r="S264" s="4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</row>
    <row r="265" spans="12:160" x14ac:dyDescent="0.25">
      <c r="L265" s="4"/>
      <c r="M265" s="4"/>
      <c r="N265" s="4"/>
      <c r="O265" s="5"/>
      <c r="P265" s="4"/>
      <c r="Q265" s="4"/>
      <c r="R265" s="4"/>
      <c r="S265" s="4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</row>
    <row r="266" spans="12:160" x14ac:dyDescent="0.25">
      <c r="L266" s="4"/>
      <c r="M266" s="4"/>
      <c r="N266" s="4"/>
      <c r="O266" s="5"/>
      <c r="P266" s="4"/>
      <c r="Q266" s="4"/>
      <c r="R266" s="4"/>
      <c r="S266" s="4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</row>
    <row r="267" spans="12:160" x14ac:dyDescent="0.25">
      <c r="L267" s="4"/>
      <c r="M267" s="4"/>
      <c r="N267" s="4"/>
      <c r="O267" s="5"/>
      <c r="P267" s="4"/>
      <c r="Q267" s="4"/>
      <c r="R267" s="4"/>
      <c r="S267" s="4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</row>
    <row r="268" spans="12:160" x14ac:dyDescent="0.25">
      <c r="L268" s="4"/>
      <c r="M268" s="4"/>
      <c r="N268" s="4"/>
      <c r="O268" s="5"/>
      <c r="P268" s="4"/>
      <c r="Q268" s="4"/>
      <c r="R268" s="4"/>
      <c r="S268" s="4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</row>
    <row r="269" spans="12:160" x14ac:dyDescent="0.25">
      <c r="L269" s="4"/>
      <c r="M269" s="4"/>
      <c r="N269" s="4"/>
      <c r="O269" s="5"/>
      <c r="P269" s="4"/>
      <c r="Q269" s="4"/>
      <c r="R269" s="4"/>
      <c r="S269" s="4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</row>
    <row r="270" spans="12:160" x14ac:dyDescent="0.25">
      <c r="L270" s="4"/>
      <c r="M270" s="4"/>
      <c r="N270" s="4"/>
      <c r="O270" s="5"/>
      <c r="P270" s="4"/>
      <c r="Q270" s="4"/>
      <c r="R270" s="4"/>
      <c r="S270" s="4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</row>
    <row r="271" spans="12:160" x14ac:dyDescent="0.25">
      <c r="L271" s="4"/>
      <c r="M271" s="4"/>
      <c r="N271" s="4"/>
      <c r="O271" s="5"/>
      <c r="P271" s="4"/>
      <c r="Q271" s="4"/>
      <c r="R271" s="4"/>
      <c r="S271" s="4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</row>
    <row r="272" spans="12:160" x14ac:dyDescent="0.25">
      <c r="L272" s="4"/>
      <c r="M272" s="4"/>
      <c r="N272" s="4"/>
      <c r="O272" s="5"/>
      <c r="P272" s="4"/>
      <c r="Q272" s="4"/>
      <c r="R272" s="4"/>
      <c r="S272" s="4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</row>
    <row r="273" spans="12:160" x14ac:dyDescent="0.25">
      <c r="L273" s="4"/>
      <c r="M273" s="4"/>
      <c r="N273" s="4"/>
      <c r="O273" s="5"/>
      <c r="P273" s="4"/>
      <c r="Q273" s="4"/>
      <c r="R273" s="4"/>
      <c r="S273" s="4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</row>
    <row r="274" spans="12:160" x14ac:dyDescent="0.25">
      <c r="L274" s="4"/>
      <c r="M274" s="4"/>
      <c r="N274" s="4"/>
      <c r="O274" s="5"/>
      <c r="P274" s="4"/>
      <c r="Q274" s="4"/>
      <c r="R274" s="4"/>
      <c r="S274" s="4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</row>
    <row r="275" spans="12:160" x14ac:dyDescent="0.25">
      <c r="L275" s="4"/>
      <c r="M275" s="4"/>
      <c r="N275" s="4"/>
      <c r="O275" s="5"/>
      <c r="P275" s="4"/>
      <c r="Q275" s="4"/>
      <c r="R275" s="4"/>
      <c r="S275" s="4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</row>
    <row r="276" spans="12:160" x14ac:dyDescent="0.25">
      <c r="L276" s="4"/>
      <c r="M276" s="4"/>
      <c r="N276" s="4"/>
      <c r="O276" s="5"/>
      <c r="P276" s="4"/>
      <c r="Q276" s="4"/>
      <c r="R276" s="4"/>
      <c r="S276" s="4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</row>
    <row r="277" spans="12:160" x14ac:dyDescent="0.25">
      <c r="L277" s="4"/>
      <c r="M277" s="4"/>
      <c r="N277" s="4"/>
      <c r="O277" s="5"/>
      <c r="P277" s="4"/>
      <c r="Q277" s="4"/>
      <c r="R277" s="4"/>
      <c r="S277" s="4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</row>
    <row r="278" spans="12:160" x14ac:dyDescent="0.25">
      <c r="L278" s="4"/>
      <c r="M278" s="4"/>
      <c r="N278" s="4"/>
      <c r="O278" s="5"/>
      <c r="P278" s="4"/>
      <c r="Q278" s="4"/>
      <c r="R278" s="4"/>
      <c r="S278" s="4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</row>
    <row r="279" spans="12:160" x14ac:dyDescent="0.25">
      <c r="L279" s="4"/>
      <c r="M279" s="4"/>
      <c r="N279" s="4"/>
      <c r="O279" s="5"/>
      <c r="P279" s="4"/>
      <c r="Q279" s="4"/>
      <c r="R279" s="4"/>
      <c r="S279" s="4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</row>
    <row r="280" spans="12:160" x14ac:dyDescent="0.25">
      <c r="L280" s="4"/>
      <c r="M280" s="4"/>
      <c r="N280" s="4"/>
      <c r="O280" s="5"/>
      <c r="P280" s="4"/>
      <c r="Q280" s="4"/>
      <c r="R280" s="4"/>
      <c r="S280" s="4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</row>
    <row r="281" spans="12:160" x14ac:dyDescent="0.25">
      <c r="L281" s="4"/>
      <c r="M281" s="4"/>
      <c r="N281" s="4"/>
      <c r="O281" s="5"/>
      <c r="P281" s="4"/>
      <c r="Q281" s="4"/>
      <c r="R281" s="4"/>
      <c r="S281" s="4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</row>
    <row r="282" spans="12:160" x14ac:dyDescent="0.25">
      <c r="L282" s="4"/>
      <c r="M282" s="4"/>
      <c r="N282" s="4"/>
      <c r="O282" s="5"/>
      <c r="P282" s="4"/>
      <c r="Q282" s="4"/>
      <c r="R282" s="4"/>
      <c r="S282" s="4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</row>
    <row r="283" spans="12:160" x14ac:dyDescent="0.25">
      <c r="L283" s="4"/>
      <c r="M283" s="4"/>
      <c r="N283" s="4"/>
      <c r="O283" s="5"/>
      <c r="P283" s="4"/>
      <c r="Q283" s="4"/>
      <c r="R283" s="4"/>
      <c r="S283" s="4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</row>
    <row r="284" spans="12:160" x14ac:dyDescent="0.25">
      <c r="L284" s="4"/>
      <c r="M284" s="4"/>
      <c r="N284" s="4"/>
      <c r="O284" s="5"/>
      <c r="P284" s="4"/>
      <c r="Q284" s="4"/>
      <c r="R284" s="4"/>
      <c r="S284" s="4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</row>
    <row r="285" spans="12:160" x14ac:dyDescent="0.25">
      <c r="L285" s="4"/>
      <c r="M285" s="4"/>
      <c r="N285" s="4"/>
      <c r="O285" s="5"/>
      <c r="P285" s="4"/>
      <c r="Q285" s="4"/>
      <c r="R285" s="4"/>
      <c r="S285" s="4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</row>
    <row r="286" spans="12:160" x14ac:dyDescent="0.25">
      <c r="L286" s="4"/>
      <c r="M286" s="4"/>
      <c r="N286" s="4"/>
      <c r="O286" s="5"/>
      <c r="P286" s="4"/>
      <c r="Q286" s="4"/>
      <c r="R286" s="4"/>
      <c r="S286" s="4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</row>
    <row r="287" spans="12:160" x14ac:dyDescent="0.25">
      <c r="L287" s="4"/>
      <c r="M287" s="4"/>
      <c r="N287" s="4"/>
      <c r="O287" s="5"/>
      <c r="P287" s="4"/>
      <c r="Q287" s="4"/>
      <c r="R287" s="4"/>
      <c r="S287" s="4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</row>
    <row r="288" spans="12:160" x14ac:dyDescent="0.25">
      <c r="L288" s="4"/>
      <c r="M288" s="4"/>
      <c r="N288" s="4"/>
      <c r="O288" s="5"/>
      <c r="P288" s="4"/>
      <c r="Q288" s="4"/>
      <c r="R288" s="4"/>
      <c r="S288" s="4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</row>
    <row r="289" spans="12:160" x14ac:dyDescent="0.25">
      <c r="L289" s="4"/>
      <c r="M289" s="4"/>
      <c r="N289" s="4"/>
      <c r="O289" s="5"/>
      <c r="P289" s="4"/>
      <c r="Q289" s="4"/>
      <c r="R289" s="4"/>
      <c r="S289" s="4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</row>
    <row r="290" spans="12:160" x14ac:dyDescent="0.25">
      <c r="L290" s="4"/>
      <c r="M290" s="4"/>
      <c r="N290" s="4"/>
      <c r="O290" s="5"/>
      <c r="P290" s="4"/>
      <c r="Q290" s="4"/>
      <c r="R290" s="4"/>
      <c r="S290" s="4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</row>
    <row r="291" spans="12:160" x14ac:dyDescent="0.25">
      <c r="L291" s="4"/>
      <c r="M291" s="4"/>
      <c r="N291" s="4"/>
      <c r="O291" s="5"/>
      <c r="P291" s="4"/>
      <c r="Q291" s="4"/>
      <c r="R291" s="4"/>
      <c r="S291" s="4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</row>
    <row r="292" spans="12:160" x14ac:dyDescent="0.25">
      <c r="L292" s="4"/>
      <c r="M292" s="4"/>
      <c r="N292" s="4"/>
      <c r="O292" s="5"/>
      <c r="P292" s="4"/>
      <c r="Q292" s="4"/>
      <c r="R292" s="4"/>
      <c r="S292" s="4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</row>
    <row r="293" spans="12:160" x14ac:dyDescent="0.25">
      <c r="L293" s="4"/>
      <c r="M293" s="4"/>
      <c r="N293" s="4"/>
      <c r="O293" s="5"/>
      <c r="P293" s="4"/>
      <c r="Q293" s="4"/>
      <c r="R293" s="4"/>
      <c r="S293" s="4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</row>
    <row r="294" spans="12:160" x14ac:dyDescent="0.25">
      <c r="L294" s="4"/>
      <c r="M294" s="4"/>
      <c r="N294" s="4"/>
      <c r="O294" s="5"/>
      <c r="P294" s="4"/>
      <c r="Q294" s="4"/>
      <c r="R294" s="4"/>
      <c r="S294" s="4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</row>
    <row r="295" spans="12:160" x14ac:dyDescent="0.25">
      <c r="L295" s="4"/>
      <c r="M295" s="4"/>
      <c r="N295" s="4"/>
      <c r="O295" s="5"/>
      <c r="P295" s="4"/>
      <c r="Q295" s="4"/>
      <c r="R295" s="4"/>
      <c r="S295" s="4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</row>
    <row r="296" spans="12:160" x14ac:dyDescent="0.25">
      <c r="L296" s="4"/>
      <c r="M296" s="4"/>
      <c r="N296" s="4"/>
      <c r="O296" s="5"/>
      <c r="P296" s="4"/>
      <c r="Q296" s="4"/>
      <c r="R296" s="4"/>
      <c r="S296" s="4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</row>
    <row r="297" spans="12:160" x14ac:dyDescent="0.25">
      <c r="L297" s="4"/>
      <c r="M297" s="4"/>
      <c r="N297" s="4"/>
      <c r="O297" s="5"/>
      <c r="P297" s="4"/>
      <c r="Q297" s="4"/>
      <c r="R297" s="4"/>
      <c r="S297" s="4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</row>
    <row r="298" spans="12:160" x14ac:dyDescent="0.25">
      <c r="L298" s="4"/>
      <c r="M298" s="4"/>
      <c r="N298" s="4"/>
      <c r="O298" s="5"/>
      <c r="P298" s="4"/>
      <c r="Q298" s="4"/>
      <c r="R298" s="4"/>
      <c r="S298" s="4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</row>
    <row r="299" spans="12:160" x14ac:dyDescent="0.25">
      <c r="L299" s="4"/>
      <c r="M299" s="4"/>
      <c r="N299" s="4"/>
      <c r="O299" s="5"/>
      <c r="P299" s="4"/>
      <c r="Q299" s="4"/>
      <c r="R299" s="4"/>
      <c r="S299" s="4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</row>
    <row r="300" spans="12:160" x14ac:dyDescent="0.25">
      <c r="L300" s="4"/>
      <c r="M300" s="4"/>
      <c r="N300" s="4"/>
      <c r="O300" s="5"/>
      <c r="P300" s="4"/>
      <c r="Q300" s="4"/>
      <c r="R300" s="4"/>
      <c r="S300" s="4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</row>
    <row r="301" spans="12:160" x14ac:dyDescent="0.25">
      <c r="L301" s="4"/>
      <c r="M301" s="4"/>
      <c r="N301" s="4"/>
      <c r="O301" s="5"/>
      <c r="P301" s="4"/>
      <c r="Q301" s="4"/>
      <c r="R301" s="4"/>
      <c r="S301" s="4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</row>
    <row r="302" spans="12:160" x14ac:dyDescent="0.25">
      <c r="L302" s="4"/>
      <c r="M302" s="4"/>
      <c r="N302" s="4"/>
      <c r="O302" s="5"/>
      <c r="P302" s="4"/>
      <c r="Q302" s="4"/>
      <c r="R302" s="4"/>
      <c r="S302" s="4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</row>
    <row r="303" spans="12:160" x14ac:dyDescent="0.25">
      <c r="L303" s="4"/>
      <c r="M303" s="4"/>
      <c r="N303" s="4"/>
      <c r="O303" s="5"/>
      <c r="P303" s="4"/>
      <c r="Q303" s="4"/>
      <c r="R303" s="4"/>
      <c r="S303" s="4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</row>
    <row r="304" spans="12:160" x14ac:dyDescent="0.25">
      <c r="L304" s="4"/>
      <c r="M304" s="4"/>
      <c r="N304" s="4"/>
      <c r="O304" s="5"/>
      <c r="P304" s="4"/>
      <c r="Q304" s="4"/>
      <c r="R304" s="4"/>
      <c r="S304" s="4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System</vt:lpstr>
      <vt:lpstr>PV modules</vt:lpstr>
      <vt:lpstr>Inverter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Hansen</dc:creator>
  <cp:lastModifiedBy>Palm, Andreas - VisionUPS</cp:lastModifiedBy>
  <cp:lastPrinted>2024-03-06T07:52:51Z</cp:lastPrinted>
  <dcterms:created xsi:type="dcterms:W3CDTF">2018-04-11T07:57:08Z</dcterms:created>
  <dcterms:modified xsi:type="dcterms:W3CDTF">2026-03-26T14:51:37Z</dcterms:modified>
</cp:coreProperties>
</file>